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920226f57e5005e/Documents/"/>
    </mc:Choice>
  </mc:AlternateContent>
  <xr:revisionPtr revIDLastSave="405" documentId="8_{992FA7C3-F710-4101-9F09-FDD310A1B74C}" xr6:coauthVersionLast="45" xr6:coauthVersionMax="45" xr10:uidLastSave="{B72202B1-D3F8-4421-98A8-E1076DB03981}"/>
  <bookViews>
    <workbookView xWindow="-120" yWindow="-120" windowWidth="20730" windowHeight="11160" xr2:uid="{7DE81061-CA9B-466C-818F-E589B5AA51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9" i="1"/>
  <c r="J20" i="1"/>
  <c r="J19" i="1"/>
  <c r="I20" i="1"/>
  <c r="I19" i="1"/>
  <c r="G20" i="1"/>
  <c r="G19" i="1"/>
  <c r="E20" i="1"/>
  <c r="E19" i="1"/>
  <c r="D20" i="1"/>
  <c r="D19" i="1"/>
  <c r="C20" i="1"/>
  <c r="C19" i="1"/>
  <c r="I25" i="1"/>
  <c r="I14" i="1"/>
  <c r="H25" i="1"/>
  <c r="H26" i="1"/>
  <c r="H19" i="1"/>
  <c r="H20" i="1"/>
  <c r="H14" i="1"/>
  <c r="G25" i="1"/>
  <c r="G14" i="1" l="1"/>
  <c r="G8" i="1"/>
  <c r="F19" i="1"/>
  <c r="F22" i="1"/>
  <c r="F25" i="1"/>
  <c r="F14" i="1"/>
  <c r="E25" i="1"/>
  <c r="E27" i="1" s="1"/>
  <c r="E14" i="1"/>
  <c r="D25" i="1"/>
  <c r="D14" i="1"/>
  <c r="D8" i="1"/>
  <c r="C26" i="1"/>
  <c r="C22" i="1"/>
  <c r="C25" i="1"/>
  <c r="C14" i="1"/>
  <c r="B14" i="1"/>
  <c r="B15" i="1"/>
  <c r="J25" i="1"/>
  <c r="J14" i="1"/>
  <c r="J8" i="1"/>
  <c r="M27" i="1"/>
  <c r="L27" i="1"/>
  <c r="K27" i="1"/>
  <c r="I27" i="1"/>
  <c r="H27" i="1"/>
  <c r="G27" i="1"/>
  <c r="B27" i="1"/>
  <c r="K25" i="1"/>
  <c r="K14" i="1"/>
  <c r="N11" i="1"/>
  <c r="K8" i="1"/>
  <c r="F27" i="1" l="1"/>
  <c r="D27" i="1"/>
  <c r="C27" i="1"/>
  <c r="J27" i="1"/>
  <c r="M29" i="1" l="1"/>
  <c r="L29" i="1"/>
  <c r="N27" i="1"/>
  <c r="N26" i="1"/>
  <c r="N25" i="1"/>
  <c r="N22" i="1"/>
  <c r="N21" i="1"/>
  <c r="N20" i="1"/>
  <c r="N19" i="1"/>
  <c r="N18" i="1"/>
  <c r="N13" i="1"/>
  <c r="G15" i="1"/>
  <c r="G29" i="1" s="1"/>
  <c r="E15" i="1"/>
  <c r="E29" i="1" s="1"/>
  <c r="C15" i="1"/>
  <c r="C29" i="1" s="1"/>
  <c r="I8" i="1"/>
  <c r="H8" i="1"/>
  <c r="H15" i="1" s="1"/>
  <c r="H29" i="1" s="1"/>
  <c r="E8" i="1"/>
  <c r="F8" i="1"/>
  <c r="D15" i="1"/>
  <c r="D29" i="1" s="1"/>
  <c r="C8" i="1"/>
  <c r="N7" i="1"/>
  <c r="N6" i="1"/>
  <c r="N5" i="1"/>
  <c r="M15" i="1"/>
  <c r="L15" i="1"/>
  <c r="K15" i="1"/>
  <c r="K29" i="1" s="1"/>
  <c r="J15" i="1"/>
  <c r="J29" i="1" s="1"/>
  <c r="B25" i="1"/>
  <c r="B19" i="1"/>
  <c r="B8" i="1"/>
  <c r="M37" i="1"/>
  <c r="L37" i="1"/>
  <c r="K37" i="1"/>
  <c r="J37" i="1"/>
  <c r="I37" i="1"/>
  <c r="H37" i="1"/>
  <c r="G37" i="1"/>
  <c r="F37" i="1"/>
  <c r="E37" i="1"/>
  <c r="D37" i="1"/>
  <c r="C37" i="1"/>
  <c r="B37" i="1"/>
  <c r="F15" i="1" l="1"/>
  <c r="F29" i="1" s="1"/>
  <c r="B29" i="1"/>
  <c r="I15" i="1"/>
  <c r="I29" i="1" s="1"/>
  <c r="N10" i="1"/>
  <c r="N8" i="1"/>
  <c r="N14" i="1"/>
  <c r="N15" i="1" l="1"/>
  <c r="N29" i="1" s="1"/>
</calcChain>
</file>

<file path=xl/sharedStrings.xml><?xml version="1.0" encoding="utf-8"?>
<sst xmlns="http://schemas.openxmlformats.org/spreadsheetml/2006/main" count="73" uniqueCount="45">
  <si>
    <t>REDE ECOLOGICA</t>
  </si>
  <si>
    <t>MESES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</si>
  <si>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</si>
  <si>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</si>
  <si>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</si>
  <si>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</si>
  <si>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</si>
  <si>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</si>
  <si>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</si>
  <si>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</si>
  <si>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</si>
  <si>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</si>
  <si>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</si>
  <si>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</si>
  <si>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</si>
  <si>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RECEITAS</t>
  </si>
  <si>
    <t>ASSOCIAÇÕES</t>
  </si>
  <si>
    <t>CAIXA DOS NÚCLEOS</t>
  </si>
  <si>
    <t xml:space="preserve">RENDIMENTOS </t>
  </si>
  <si>
    <t>TOTAL DAS RECEITAS</t>
  </si>
  <si>
    <t xml:space="preserve">FEVEREIRO </t>
  </si>
  <si>
    <t xml:space="preserve">DESPESAS OPERACIONAIS </t>
  </si>
  <si>
    <t xml:space="preserve">DESPESAS ADMINISTRATIVAS </t>
  </si>
  <si>
    <t>ALUGUEL</t>
  </si>
  <si>
    <t>TARIFAS BANCÁRIAS</t>
  </si>
  <si>
    <t>TOTAL DAS DESPESAS</t>
  </si>
  <si>
    <t>SALDOS BANCÁRIOS</t>
  </si>
  <si>
    <t>CONTAS</t>
  </si>
  <si>
    <t>DESPESAS</t>
  </si>
  <si>
    <t>RELATÓRIO FINANCEIRO ANUAL 2020</t>
  </si>
  <si>
    <t>BANCO DO BRASIL</t>
  </si>
  <si>
    <t>BRADESCO</t>
  </si>
  <si>
    <t>RESULTADO OPERACIONAL(RECEITAS-DESPESAS)</t>
  </si>
  <si>
    <t>OUTRAS RECEITAS(INCLUSIVE MESES ANTERIORES)</t>
  </si>
  <si>
    <t>PRÊMIOS</t>
  </si>
  <si>
    <t>OUTRAS DESPESAS</t>
  </si>
  <si>
    <t>PROJETO CAMPO E FAVELA</t>
  </si>
  <si>
    <t>DOAÇÕES - PROJETO CAMPO E CIDADE</t>
  </si>
  <si>
    <t xml:space="preserve">DOAÇÕES </t>
  </si>
  <si>
    <t>DOAÇÕES - PROJETO CAMPO E FAVELA</t>
  </si>
  <si>
    <t>PROJETO SOCIAIS(CAMPO E CIDADE/DIVERSOS)</t>
  </si>
  <si>
    <t xml:space="preserve">ENCOMENDAS DE PRODUTOS </t>
  </si>
  <si>
    <t>PAGAMENTO AOS PRODUTORES</t>
  </si>
  <si>
    <t>DOAÇÕES - CASA ANITCHA</t>
  </si>
  <si>
    <t>DOAÇÃO CASA ANITCHA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</si>
</sst>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4" fontId="0" fillId="0" borderId="2" xfId="0" applyNumberFormat="1" applyBorder="1"/>
    <xf numFmtId="4" fontId="0" fillId="0" borderId="2" xfId="0" applyNumberFormat="1" applyBorder="1" applyAlignment="1">
      <alignment horizontal="center" vertical="center"/>
    </xf>
    <xf numFmtId="4" fontId="0" fillId="0" borderId="6" xfId="0" applyNumberFormat="1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2673F-3EA4-4698-B266-D3F01C42031C}">
  <dimension ref="A1:N37"/>
  <sheetViews>
    <sheetView tabSelected="1" topLeftCell="A18" workbookViewId="0">
      <selection activeCell="A30" sqref="A30:N30"/>
    </sheetView>
  </sheetViews>
  <sheetFormatPr defaultRowHeight="15" x14ac:dyDescent="0.25"/>
  <cols>
    <col min="1" max="1" width="49.42578125" customWidth="1"/>
    <col min="2" max="2" width="10.7109375" customWidth="1"/>
    <col min="3" max="3" width="12.85546875" customWidth="1"/>
    <col min="4" max="4" width="11.85546875" customWidth="1"/>
    <col min="5" max="5" width="10.7109375" customWidth="1"/>
    <col min="6" max="6" width="11.28515625" customWidth="1"/>
    <col min="7" max="7" width="11.140625" customWidth="1"/>
    <col min="8" max="8" width="10.140625" customWidth="1"/>
    <col min="9" max="9" width="11" customWidth="1"/>
    <col min="10" max="10" width="12" customWidth="1"/>
    <col min="11" max="11" width="12.140625" customWidth="1"/>
    <col min="12" max="12" width="12.85546875" customWidth="1"/>
    <col min="13" max="13" width="11.85546875" customWidth="1"/>
    <col min="14" max="14" width="12.85546875" customWidth="1"/>
  </cols>
  <sheetData>
    <row r="1" spans="1:14" x14ac:dyDescent="0.25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1"/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 t="s">
        <v>2</v>
      </c>
    </row>
    <row r="4" spans="1:14" x14ac:dyDescent="0.25">
      <c r="A4" s="1" t="s">
        <v>15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8"/>
    </row>
    <row r="5" spans="1:14" x14ac:dyDescent="0.25">
      <c r="A5" s="3" t="s">
        <v>16</v>
      </c>
      <c r="B5" s="4">
        <v>7660</v>
      </c>
      <c r="C5" s="4">
        <v>7865</v>
      </c>
      <c r="D5" s="4">
        <v>7875</v>
      </c>
      <c r="E5" s="4">
        <v>8093</v>
      </c>
      <c r="F5" s="4">
        <v>8173</v>
      </c>
      <c r="G5" s="4">
        <v>7930</v>
      </c>
      <c r="H5" s="4">
        <v>7920</v>
      </c>
      <c r="I5" s="4">
        <v>8020</v>
      </c>
      <c r="J5" s="4">
        <v>8165</v>
      </c>
      <c r="K5" s="4">
        <v>8110</v>
      </c>
      <c r="L5" s="4"/>
      <c r="M5" s="4"/>
      <c r="N5" s="4">
        <f>SUM(B5:M5)</f>
        <v>79811</v>
      </c>
    </row>
    <row r="6" spans="1:14" x14ac:dyDescent="0.25">
      <c r="A6" s="3" t="s">
        <v>41</v>
      </c>
      <c r="B6" s="4">
        <v>39718.050000000003</v>
      </c>
      <c r="C6" s="4">
        <v>44218.99</v>
      </c>
      <c r="D6" s="4">
        <v>53862.12</v>
      </c>
      <c r="E6" s="4">
        <v>67481.3</v>
      </c>
      <c r="F6" s="6">
        <v>71791.8</v>
      </c>
      <c r="G6" s="4">
        <v>64809.59</v>
      </c>
      <c r="H6" s="4">
        <v>56173.51</v>
      </c>
      <c r="I6" s="4">
        <v>66229.5</v>
      </c>
      <c r="J6" s="4">
        <v>57287.87</v>
      </c>
      <c r="K6" s="4">
        <v>72670.570000000007</v>
      </c>
      <c r="L6" s="4"/>
      <c r="M6" s="4"/>
      <c r="N6" s="4">
        <f t="shared" ref="N6:N14" si="0">SUM(B6:M6)</f>
        <v>594243.30000000005</v>
      </c>
    </row>
    <row r="7" spans="1:14" x14ac:dyDescent="0.25">
      <c r="A7" s="3" t="s">
        <v>17</v>
      </c>
      <c r="B7" s="4">
        <v>-2733.77</v>
      </c>
      <c r="C7" s="4">
        <v>-1056.5</v>
      </c>
      <c r="D7" s="4">
        <v>-2033.97</v>
      </c>
      <c r="E7" s="4">
        <v>-6696.21</v>
      </c>
      <c r="F7" s="4">
        <v>-6538.59</v>
      </c>
      <c r="G7" s="4">
        <v>-12771.75</v>
      </c>
      <c r="H7" s="4">
        <v>-7912.71</v>
      </c>
      <c r="I7" s="4">
        <v>-9308.5499999999993</v>
      </c>
      <c r="J7" s="4">
        <v>-11480.35</v>
      </c>
      <c r="K7" s="4">
        <v>-11014.86</v>
      </c>
      <c r="L7" s="4"/>
      <c r="M7" s="4"/>
      <c r="N7" s="4">
        <f t="shared" si="0"/>
        <v>-71547.260000000009</v>
      </c>
    </row>
    <row r="8" spans="1:14" x14ac:dyDescent="0.25">
      <c r="A8" s="3" t="s">
        <v>18</v>
      </c>
      <c r="B8" s="4">
        <f>15.33+11.16</f>
        <v>26.490000000000002</v>
      </c>
      <c r="C8" s="4">
        <f>14.19+7.44</f>
        <v>21.63</v>
      </c>
      <c r="D8" s="4">
        <f>23.11+4.94</f>
        <v>28.05</v>
      </c>
      <c r="E8">
        <f>4.87+20.38</f>
        <v>25.25</v>
      </c>
      <c r="F8" s="4">
        <f>2.98+7.33</f>
        <v>10.31</v>
      </c>
      <c r="G8" s="4">
        <f>6.94+0.41</f>
        <v>7.3500000000000005</v>
      </c>
      <c r="H8" s="4">
        <f>5.35+3.21</f>
        <v>8.5599999999999987</v>
      </c>
      <c r="I8" s="4">
        <f>12.65+3.5</f>
        <v>16.149999999999999</v>
      </c>
      <c r="J8" s="4">
        <f>3.82+18.23</f>
        <v>22.05</v>
      </c>
      <c r="K8" s="4">
        <f>12.44+15.65</f>
        <v>28.09</v>
      </c>
      <c r="L8" s="4"/>
      <c r="M8" s="4"/>
      <c r="N8" s="4">
        <f t="shared" si="0"/>
        <v>193.93</v>
      </c>
    </row>
    <row r="9" spans="1:14" x14ac:dyDescent="0.25">
      <c r="A9" s="3" t="s">
        <v>38</v>
      </c>
      <c r="B9" s="4">
        <v>265.11</v>
      </c>
      <c r="C9" s="4">
        <v>30</v>
      </c>
      <c r="D9" s="4">
        <v>20</v>
      </c>
      <c r="E9" s="6">
        <v>0</v>
      </c>
      <c r="F9" s="4">
        <v>290</v>
      </c>
      <c r="G9" s="4">
        <v>306.29000000000002</v>
      </c>
      <c r="H9" s="4">
        <v>282</v>
      </c>
      <c r="I9" s="4">
        <v>310</v>
      </c>
      <c r="J9" s="4">
        <v>397.78</v>
      </c>
      <c r="K9" s="4">
        <v>475.75</v>
      </c>
      <c r="L9" s="4"/>
      <c r="M9" s="4"/>
      <c r="N9" s="4"/>
    </row>
    <row r="10" spans="1:14" x14ac:dyDescent="0.25">
      <c r="A10" s="3" t="s">
        <v>37</v>
      </c>
      <c r="B10" s="4">
        <v>270</v>
      </c>
      <c r="C10" s="4">
        <v>280</v>
      </c>
      <c r="D10" s="4">
        <v>370</v>
      </c>
      <c r="E10" s="4">
        <v>340</v>
      </c>
      <c r="F10" s="4">
        <v>250</v>
      </c>
      <c r="G10" s="4">
        <v>0</v>
      </c>
      <c r="H10" s="4">
        <v>0</v>
      </c>
      <c r="I10" s="4">
        <v>650</v>
      </c>
      <c r="J10" s="4">
        <v>0</v>
      </c>
      <c r="K10" s="4">
        <v>0</v>
      </c>
      <c r="L10" s="4"/>
      <c r="M10" s="4"/>
      <c r="N10" s="4">
        <f t="shared" si="0"/>
        <v>2160</v>
      </c>
    </row>
    <row r="11" spans="1:14" x14ac:dyDescent="0.25">
      <c r="A11" s="3" t="s">
        <v>39</v>
      </c>
      <c r="B11" s="4">
        <v>0</v>
      </c>
      <c r="C11" s="4">
        <v>0</v>
      </c>
      <c r="D11" s="4">
        <v>0</v>
      </c>
      <c r="E11" s="4">
        <v>2800</v>
      </c>
      <c r="F11" s="4">
        <v>2500</v>
      </c>
      <c r="G11" s="4">
        <v>1620</v>
      </c>
      <c r="H11" s="4">
        <v>1700</v>
      </c>
      <c r="I11" s="4">
        <v>3110</v>
      </c>
      <c r="J11" s="4">
        <v>14940.5</v>
      </c>
      <c r="K11" s="4">
        <v>25030</v>
      </c>
      <c r="L11" s="4"/>
      <c r="M11" s="4"/>
      <c r="N11" s="4">
        <f t="shared" si="0"/>
        <v>51700.5</v>
      </c>
    </row>
    <row r="12" spans="1:14" x14ac:dyDescent="0.25">
      <c r="A12" s="3" t="s">
        <v>43</v>
      </c>
      <c r="B12" s="4">
        <v>0</v>
      </c>
      <c r="C12" s="4">
        <v>0</v>
      </c>
      <c r="D12" s="4">
        <v>0</v>
      </c>
      <c r="E12" s="4">
        <v>0</v>
      </c>
      <c r="F12" s="4">
        <v>490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/>
      <c r="M12" s="4"/>
      <c r="N12" s="4"/>
    </row>
    <row r="13" spans="1:14" x14ac:dyDescent="0.25">
      <c r="A13" s="3" t="s">
        <v>34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8000</v>
      </c>
      <c r="J13" s="4">
        <v>0</v>
      </c>
      <c r="K13" s="4">
        <v>0</v>
      </c>
      <c r="L13" s="4"/>
      <c r="M13" s="4"/>
      <c r="N13" s="4">
        <f t="shared" si="0"/>
        <v>8000</v>
      </c>
    </row>
    <row r="14" spans="1:14" x14ac:dyDescent="0.25">
      <c r="A14" s="3" t="s">
        <v>33</v>
      </c>
      <c r="B14" s="4">
        <f>4500.68+874.6</f>
        <v>5375.2800000000007</v>
      </c>
      <c r="C14">
        <f>2018.34-1139.47-601.37</f>
        <v>277.49999999999989</v>
      </c>
      <c r="D14" s="4">
        <f>3339.23-1546.19-733.11</f>
        <v>1059.9299999999998</v>
      </c>
      <c r="E14" s="4">
        <f>900+4975.32-300.52+811.31</f>
        <v>6386.1099999999988</v>
      </c>
      <c r="F14" s="4">
        <f>565+825+5436.43-6829.83+1164.31</f>
        <v>1160.9100000000003</v>
      </c>
      <c r="G14">
        <f>14605.66-937.98-21.86</f>
        <v>13645.82</v>
      </c>
      <c r="H14" s="4">
        <f>361.71+10230.23+2371.82</f>
        <v>12963.759999999998</v>
      </c>
      <c r="I14" s="4">
        <f>5570.23-2564.85+1658.75</f>
        <v>4664.1299999999992</v>
      </c>
      <c r="J14" s="4">
        <f>10165.82-2251.85+1771.88</f>
        <v>9685.8499999999985</v>
      </c>
      <c r="K14" s="4">
        <f>12813.27-3946.63+3500.37</f>
        <v>12367.009999999998</v>
      </c>
      <c r="L14" s="4"/>
      <c r="M14" s="4"/>
      <c r="N14" s="4">
        <f t="shared" si="0"/>
        <v>67586.299999999988</v>
      </c>
    </row>
    <row r="15" spans="1:14" x14ac:dyDescent="0.25">
      <c r="A15" s="3" t="s">
        <v>19</v>
      </c>
      <c r="B15" s="4">
        <f>SUM(B5:B14)</f>
        <v>50581.16</v>
      </c>
      <c r="C15" s="4">
        <f t="shared" ref="C15:N15" si="1">SUM(C5:C14)</f>
        <v>51636.619999999995</v>
      </c>
      <c r="D15" s="4">
        <f>SUM(D5:D14)</f>
        <v>61181.130000000005</v>
      </c>
      <c r="E15" s="4">
        <f t="shared" si="1"/>
        <v>78429.45</v>
      </c>
      <c r="F15" s="4">
        <f t="shared" si="1"/>
        <v>78127.430000000008</v>
      </c>
      <c r="G15" s="4">
        <f t="shared" si="1"/>
        <v>75547.299999999988</v>
      </c>
      <c r="H15" s="4">
        <f>SUM(H5:H14)</f>
        <v>71135.12</v>
      </c>
      <c r="I15" s="4">
        <f t="shared" si="1"/>
        <v>81691.23000000001</v>
      </c>
      <c r="J15" s="4">
        <f t="shared" si="1"/>
        <v>79018.700000000012</v>
      </c>
      <c r="K15" s="4">
        <f t="shared" si="1"/>
        <v>107666.56</v>
      </c>
      <c r="L15" s="4">
        <f t="shared" si="1"/>
        <v>0</v>
      </c>
      <c r="M15" s="4">
        <f t="shared" si="1"/>
        <v>0</v>
      </c>
      <c r="N15" s="4">
        <f t="shared" si="1"/>
        <v>732147.77</v>
      </c>
    </row>
    <row r="16" spans="1:14" x14ac:dyDescent="0.25">
      <c r="A16" s="3"/>
      <c r="B16" s="7" t="s">
        <v>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 t="s">
        <v>2</v>
      </c>
    </row>
    <row r="17" spans="1:14" x14ac:dyDescent="0.25">
      <c r="A17" s="1" t="s">
        <v>28</v>
      </c>
      <c r="B17" s="3" t="s">
        <v>3</v>
      </c>
      <c r="C17" s="3" t="s">
        <v>20</v>
      </c>
      <c r="D17" s="3" t="s">
        <v>5</v>
      </c>
      <c r="E17" s="3" t="s">
        <v>6</v>
      </c>
      <c r="F17" s="3" t="s">
        <v>7</v>
      </c>
      <c r="G17" s="3" t="s">
        <v>8</v>
      </c>
      <c r="H17" s="3" t="s">
        <v>9</v>
      </c>
      <c r="I17" s="3" t="s">
        <v>10</v>
      </c>
      <c r="J17" s="3" t="s">
        <v>11</v>
      </c>
      <c r="K17" s="3" t="s">
        <v>12</v>
      </c>
      <c r="L17" s="3" t="s">
        <v>13</v>
      </c>
      <c r="M17" s="3" t="s">
        <v>14</v>
      </c>
      <c r="N17" s="8"/>
    </row>
    <row r="18" spans="1:14" x14ac:dyDescent="0.25">
      <c r="A18" s="3" t="s">
        <v>42</v>
      </c>
      <c r="B18" s="4">
        <v>36236.36</v>
      </c>
      <c r="C18" s="4">
        <v>39395.42</v>
      </c>
      <c r="D18" s="4">
        <v>46852.81</v>
      </c>
      <c r="E18" s="4">
        <v>68541.48</v>
      </c>
      <c r="F18" s="4">
        <v>60814.6</v>
      </c>
      <c r="G18" s="4">
        <v>61110.87</v>
      </c>
      <c r="H18" s="4">
        <v>58742.2</v>
      </c>
      <c r="I18" s="4">
        <v>64894.99</v>
      </c>
      <c r="J18" s="4">
        <v>51580.160000000003</v>
      </c>
      <c r="K18" s="4">
        <v>62297.120000000003</v>
      </c>
      <c r="L18" s="4"/>
      <c r="M18" s="4"/>
      <c r="N18" s="5">
        <f>SUM(B18:M18)</f>
        <v>550466.01</v>
      </c>
    </row>
    <row r="19" spans="1:14" x14ac:dyDescent="0.25">
      <c r="A19" s="3" t="s">
        <v>21</v>
      </c>
      <c r="B19" s="4">
        <f>5597.45+343+434.09</f>
        <v>6374.54</v>
      </c>
      <c r="C19" s="4">
        <f>200+6473.9</f>
        <v>6673.9</v>
      </c>
      <c r="D19" s="4">
        <f>340+6154.65</f>
        <v>6494.65</v>
      </c>
      <c r="E19" s="4">
        <f>1033.92+5967.03</f>
        <v>7000.95</v>
      </c>
      <c r="F19" s="4">
        <f>6743.28+839.5</f>
        <v>7582.78</v>
      </c>
      <c r="G19" s="4">
        <f>640+6108.4</f>
        <v>6748.4</v>
      </c>
      <c r="H19" s="4">
        <f>5904.4+1066.5</f>
        <v>6970.9</v>
      </c>
      <c r="I19" s="4">
        <f>6022.2+491.09</f>
        <v>6513.29</v>
      </c>
      <c r="J19" s="4">
        <f>6439.15+270</f>
        <v>6709.15</v>
      </c>
      <c r="K19" s="4">
        <f>6245.35+410</f>
        <v>6655.35</v>
      </c>
      <c r="L19" s="4"/>
      <c r="M19" s="4"/>
      <c r="N19" s="5">
        <f t="shared" ref="N19:N27" si="2">SUM(B19:M19)</f>
        <v>67723.91</v>
      </c>
    </row>
    <row r="20" spans="1:14" x14ac:dyDescent="0.25">
      <c r="A20" s="3" t="s">
        <v>22</v>
      </c>
      <c r="B20" s="4">
        <v>1880</v>
      </c>
      <c r="C20" s="4">
        <f>2726.09</f>
        <v>2726.09</v>
      </c>
      <c r="D20" s="4">
        <f>3052.5</f>
        <v>3052.5</v>
      </c>
      <c r="E20" s="4">
        <f>2525</f>
        <v>2525</v>
      </c>
      <c r="F20" s="4">
        <v>2595</v>
      </c>
      <c r="G20" s="4">
        <f>300.4</f>
        <v>300.39999999999998</v>
      </c>
      <c r="H20" s="4">
        <f>2320+2730</f>
        <v>5050</v>
      </c>
      <c r="I20" s="4">
        <f>2850</f>
        <v>2850</v>
      </c>
      <c r="J20" s="4">
        <f>2200</f>
        <v>2200</v>
      </c>
      <c r="K20" s="4">
        <f>2320</f>
        <v>2320</v>
      </c>
      <c r="L20" s="4"/>
      <c r="M20" s="4"/>
      <c r="N20" s="5">
        <f t="shared" si="2"/>
        <v>25498.989999999998</v>
      </c>
    </row>
    <row r="21" spans="1:14" x14ac:dyDescent="0.25">
      <c r="A21" s="3" t="s">
        <v>23</v>
      </c>
      <c r="B21" s="4">
        <v>620</v>
      </c>
      <c r="C21" s="4">
        <v>632</v>
      </c>
      <c r="D21" s="4">
        <v>1550</v>
      </c>
      <c r="E21" s="4">
        <v>1525</v>
      </c>
      <c r="F21" s="4">
        <v>600</v>
      </c>
      <c r="G21" s="4">
        <v>1150</v>
      </c>
      <c r="H21" s="4">
        <v>900</v>
      </c>
      <c r="I21" s="4">
        <v>900</v>
      </c>
      <c r="J21" s="4">
        <v>0</v>
      </c>
      <c r="K21" s="4">
        <v>900</v>
      </c>
      <c r="L21" s="4"/>
      <c r="M21" s="4"/>
      <c r="N21" s="5">
        <f t="shared" si="2"/>
        <v>8777</v>
      </c>
    </row>
    <row r="22" spans="1:14" x14ac:dyDescent="0.25">
      <c r="A22" s="3" t="s">
        <v>40</v>
      </c>
      <c r="B22" s="4">
        <v>393</v>
      </c>
      <c r="C22" s="4">
        <f>280+1520</f>
        <v>1800</v>
      </c>
      <c r="D22" s="4">
        <v>0</v>
      </c>
      <c r="E22" s="4">
        <v>320</v>
      </c>
      <c r="F22" s="4">
        <f>790+1550</f>
        <v>2340</v>
      </c>
      <c r="G22" s="4">
        <v>1200</v>
      </c>
      <c r="H22" s="4">
        <v>0</v>
      </c>
      <c r="I22" s="4">
        <v>0</v>
      </c>
      <c r="J22" s="4">
        <v>0</v>
      </c>
      <c r="K22" s="4">
        <v>0</v>
      </c>
      <c r="L22" s="4"/>
      <c r="M22" s="4"/>
      <c r="N22" s="5">
        <f t="shared" si="2"/>
        <v>6053</v>
      </c>
    </row>
    <row r="23" spans="1:14" x14ac:dyDescent="0.25">
      <c r="A23" s="3" t="s">
        <v>36</v>
      </c>
      <c r="B23" s="4">
        <v>0</v>
      </c>
      <c r="C23" s="4">
        <v>0</v>
      </c>
      <c r="D23" s="4">
        <v>990</v>
      </c>
      <c r="E23" s="4">
        <v>1287</v>
      </c>
      <c r="F23" s="4">
        <v>4000</v>
      </c>
      <c r="G23" s="4">
        <v>1500</v>
      </c>
      <c r="H23" s="4">
        <v>1700</v>
      </c>
      <c r="I23" s="4">
        <v>165</v>
      </c>
      <c r="J23" s="4">
        <v>13030.5</v>
      </c>
      <c r="K23" s="4">
        <v>0</v>
      </c>
      <c r="L23" s="4"/>
      <c r="M23" s="4"/>
      <c r="N23" s="5"/>
    </row>
    <row r="24" spans="1:14" x14ac:dyDescent="0.25">
      <c r="A24" s="3" t="s">
        <v>44</v>
      </c>
      <c r="B24" s="4">
        <v>0</v>
      </c>
      <c r="C24" s="4">
        <v>0</v>
      </c>
      <c r="D24" s="4">
        <v>0</v>
      </c>
      <c r="E24" s="4">
        <v>0</v>
      </c>
      <c r="F24" s="4">
        <v>490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5"/>
    </row>
    <row r="25" spans="1:14" x14ac:dyDescent="0.25">
      <c r="A25" s="3" t="s">
        <v>24</v>
      </c>
      <c r="B25" s="4">
        <f>93.55+36.7+2.86+5</f>
        <v>138.11000000000001</v>
      </c>
      <c r="C25" s="4">
        <f>93.55+36.7+2.86+5</f>
        <v>138.11000000000001</v>
      </c>
      <c r="D25" s="4">
        <f>93.55+47.15+2.86+5</f>
        <v>148.56</v>
      </c>
      <c r="E25" s="4">
        <f>93.55+47.15+2.86+5</f>
        <v>148.56</v>
      </c>
      <c r="F25" s="4">
        <f>93.55+36.7+2.86+5</f>
        <v>138.11000000000001</v>
      </c>
      <c r="G25" s="4">
        <f>93.55+36.7+2.86+5</f>
        <v>138.11000000000001</v>
      </c>
      <c r="H25" s="4">
        <f>93.55+36.7+2.86+5</f>
        <v>138.11000000000001</v>
      </c>
      <c r="I25" s="4">
        <f>93.55+36.7+2.86+5</f>
        <v>138.11000000000001</v>
      </c>
      <c r="J25" s="4">
        <f>93.55+47.15+2.86+5</f>
        <v>148.56</v>
      </c>
      <c r="K25" s="4">
        <f>93.55+39.4+2.86+5</f>
        <v>140.81</v>
      </c>
      <c r="L25" s="4"/>
      <c r="M25" s="4"/>
      <c r="N25" s="5">
        <f t="shared" si="2"/>
        <v>1415.15</v>
      </c>
    </row>
    <row r="26" spans="1:14" x14ac:dyDescent="0.25">
      <c r="A26" s="3" t="s">
        <v>35</v>
      </c>
      <c r="B26" s="4">
        <v>0</v>
      </c>
      <c r="C26" s="4">
        <f>740-5.51</f>
        <v>734.49</v>
      </c>
      <c r="D26" s="4">
        <v>0</v>
      </c>
      <c r="E26" s="4">
        <v>825</v>
      </c>
      <c r="F26" s="4">
        <v>0</v>
      </c>
      <c r="G26" s="4">
        <v>420.96</v>
      </c>
      <c r="H26" s="4">
        <f>361.71+61.37</f>
        <v>423.08</v>
      </c>
      <c r="I26" s="4">
        <v>0</v>
      </c>
      <c r="J26" s="4">
        <v>0</v>
      </c>
      <c r="K26" s="4">
        <v>900</v>
      </c>
      <c r="L26" s="4"/>
      <c r="M26" s="4"/>
      <c r="N26" s="5">
        <f t="shared" si="2"/>
        <v>3303.53</v>
      </c>
    </row>
    <row r="27" spans="1:14" x14ac:dyDescent="0.25">
      <c r="A27" s="3" t="s">
        <v>25</v>
      </c>
      <c r="B27" s="4">
        <f>SUM(B18:B26)</f>
        <v>45642.01</v>
      </c>
      <c r="C27" s="4">
        <f t="shared" ref="C27:M27" si="3">SUM(C18:C26)</f>
        <v>52100.01</v>
      </c>
      <c r="D27" s="4">
        <f t="shared" si="3"/>
        <v>59088.52</v>
      </c>
      <c r="E27" s="4">
        <f t="shared" si="3"/>
        <v>82172.989999999991</v>
      </c>
      <c r="F27" s="4">
        <f t="shared" si="3"/>
        <v>78560.490000000005</v>
      </c>
      <c r="G27" s="4">
        <f t="shared" si="3"/>
        <v>72568.740000000005</v>
      </c>
      <c r="H27" s="4">
        <f t="shared" si="3"/>
        <v>73924.289999999994</v>
      </c>
      <c r="I27" s="4">
        <f t="shared" si="3"/>
        <v>75461.39</v>
      </c>
      <c r="J27" s="4">
        <f t="shared" si="3"/>
        <v>73668.37</v>
      </c>
      <c r="K27" s="4">
        <f t="shared" si="3"/>
        <v>73213.279999999999</v>
      </c>
      <c r="L27" s="4">
        <f t="shared" si="3"/>
        <v>0</v>
      </c>
      <c r="M27" s="4">
        <f t="shared" si="3"/>
        <v>0</v>
      </c>
      <c r="N27" s="5">
        <f t="shared" si="2"/>
        <v>686400.09</v>
      </c>
    </row>
    <row r="28" spans="1:14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</row>
    <row r="29" spans="1:14" x14ac:dyDescent="0.25">
      <c r="A29" s="3" t="s">
        <v>32</v>
      </c>
      <c r="B29" s="4">
        <f>B15-B27</f>
        <v>4939.1500000000015</v>
      </c>
      <c r="C29" s="4">
        <f t="shared" ref="C29:N29" si="4">C15-C27</f>
        <v>-463.39000000000669</v>
      </c>
      <c r="D29" s="4">
        <f t="shared" si="4"/>
        <v>2092.6100000000079</v>
      </c>
      <c r="E29" s="4">
        <f t="shared" si="4"/>
        <v>-3743.5399999999936</v>
      </c>
      <c r="F29" s="4">
        <f t="shared" si="4"/>
        <v>-433.05999999999767</v>
      </c>
      <c r="G29" s="4">
        <f t="shared" si="4"/>
        <v>2978.5599999999831</v>
      </c>
      <c r="H29" s="4">
        <f t="shared" si="4"/>
        <v>-2789.1699999999983</v>
      </c>
      <c r="I29" s="4">
        <f t="shared" si="4"/>
        <v>6229.8400000000111</v>
      </c>
      <c r="J29" s="4">
        <f t="shared" si="4"/>
        <v>5350.3300000000163</v>
      </c>
      <c r="K29" s="4">
        <f t="shared" si="4"/>
        <v>34453.279999999999</v>
      </c>
      <c r="L29" s="4">
        <f t="shared" si="4"/>
        <v>0</v>
      </c>
      <c r="M29" s="4">
        <f t="shared" si="4"/>
        <v>0</v>
      </c>
      <c r="N29" s="4">
        <f t="shared" si="4"/>
        <v>45747.680000000051</v>
      </c>
    </row>
    <row r="30" spans="1:14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</row>
    <row r="31" spans="1:14" x14ac:dyDescent="0.25">
      <c r="A31" s="9" t="s"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4" x14ac:dyDescent="0.25">
      <c r="A32" s="7" t="s">
        <v>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3"/>
      <c r="B33" s="7" t="s">
        <v>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1" t="s">
        <v>27</v>
      </c>
      <c r="B34" s="3" t="s">
        <v>3</v>
      </c>
      <c r="C34" s="3" t="s">
        <v>20</v>
      </c>
      <c r="D34" s="3" t="s">
        <v>5</v>
      </c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  <c r="J34" s="3" t="s">
        <v>11</v>
      </c>
      <c r="K34" s="3" t="s">
        <v>12</v>
      </c>
      <c r="L34" s="3" t="s">
        <v>13</v>
      </c>
      <c r="M34" s="3" t="s">
        <v>14</v>
      </c>
    </row>
    <row r="35" spans="1:13" x14ac:dyDescent="0.25">
      <c r="A35" s="3" t="s">
        <v>30</v>
      </c>
      <c r="B35" s="4">
        <v>6400.48</v>
      </c>
      <c r="C35" s="4">
        <v>9977.98</v>
      </c>
      <c r="D35" s="4">
        <v>3987.31</v>
      </c>
      <c r="E35" s="4">
        <v>5564.17</v>
      </c>
      <c r="F35" s="4">
        <v>8775.44</v>
      </c>
      <c r="G35" s="4">
        <v>10966.9</v>
      </c>
      <c r="H35" s="4">
        <v>9710.83</v>
      </c>
      <c r="I35" s="4">
        <v>3320.23</v>
      </c>
      <c r="J35" s="4">
        <v>8695.5300000000007</v>
      </c>
      <c r="K35" s="4">
        <v>35688.120000000003</v>
      </c>
      <c r="L35" s="4"/>
      <c r="M35" s="4"/>
    </row>
    <row r="36" spans="1:13" x14ac:dyDescent="0.25">
      <c r="A36" s="3" t="s">
        <v>31</v>
      </c>
      <c r="B36" s="4">
        <v>6966.64</v>
      </c>
      <c r="C36" s="4">
        <v>2949.01</v>
      </c>
      <c r="D36" s="4">
        <v>10732</v>
      </c>
      <c r="E36" s="4">
        <v>5507.94</v>
      </c>
      <c r="F36" s="4">
        <v>1962.18</v>
      </c>
      <c r="G36" s="4">
        <v>2714.88</v>
      </c>
      <c r="H36" s="4">
        <v>2686.16</v>
      </c>
      <c r="I36" s="4">
        <v>15149.27</v>
      </c>
      <c r="J36" s="4">
        <v>14146.85</v>
      </c>
      <c r="K36" s="4">
        <v>21394.83</v>
      </c>
      <c r="L36" s="4"/>
      <c r="M36" s="4"/>
    </row>
    <row r="37" spans="1:13" x14ac:dyDescent="0.25">
      <c r="A37" s="3" t="s">
        <v>2</v>
      </c>
      <c r="B37" s="4">
        <f>SUM(B35:B36)</f>
        <v>13367.119999999999</v>
      </c>
      <c r="C37" s="4">
        <f t="shared" ref="C37:M37" si="5">SUM(C35:C36)</f>
        <v>12926.99</v>
      </c>
      <c r="D37" s="4">
        <f t="shared" si="5"/>
        <v>14719.31</v>
      </c>
      <c r="E37" s="4">
        <f t="shared" si="5"/>
        <v>11072.11</v>
      </c>
      <c r="F37" s="4">
        <f t="shared" si="5"/>
        <v>10737.62</v>
      </c>
      <c r="G37" s="4">
        <f t="shared" si="5"/>
        <v>13681.779999999999</v>
      </c>
      <c r="H37" s="4">
        <f t="shared" si="5"/>
        <v>12396.99</v>
      </c>
      <c r="I37" s="4">
        <f t="shared" si="5"/>
        <v>18469.5</v>
      </c>
      <c r="J37" s="4">
        <f t="shared" si="5"/>
        <v>22842.38</v>
      </c>
      <c r="K37" s="4">
        <f t="shared" si="5"/>
        <v>57082.950000000004</v>
      </c>
      <c r="L37" s="4">
        <f t="shared" si="5"/>
        <v>0</v>
      </c>
      <c r="M37" s="4">
        <f t="shared" si="5"/>
        <v>0</v>
      </c>
    </row>
  </sheetData>
  <mergeCells count="10">
    <mergeCell ref="A1:N1"/>
    <mergeCell ref="A2:N2"/>
    <mergeCell ref="N3:N4"/>
    <mergeCell ref="N16:N17"/>
    <mergeCell ref="B33:M33"/>
    <mergeCell ref="A31:M31"/>
    <mergeCell ref="B3:M3"/>
    <mergeCell ref="B16:M16"/>
    <mergeCell ref="A32:M32"/>
    <mergeCell ref="A30:N3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chaim ruchleimer</dc:creator>
  <cp:lastModifiedBy>chaim ruchleimer</cp:lastModifiedBy>
  <dcterms:created xsi:type="dcterms:W3CDTF">2020-10-31T15:05:26Z</dcterms:created>
  <dcterms:modified xsi:type="dcterms:W3CDTF">2020-11-30T20:36:37Z</dcterms:modified>
</cp:coreProperties>
</file>