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e920226f57e5005e/Documents/"/>
    </mc:Choice>
  </mc:AlternateContent>
  <xr:revisionPtr revIDLastSave="0" documentId="14_{7E6ADF39-1E2E-4B2A-994A-5B091DA96DDA}" xr6:coauthVersionLast="47" xr6:coauthVersionMax="47" xr10:uidLastSave="{00000000-0000-0000-0000-000000000000}"/>
  <bookViews>
    <workbookView xWindow="-120" yWindow="-120" windowWidth="20730" windowHeight="11160" tabRatio="618" firstSheet="4" activeTab="9" xr2:uid="{00000000-000D-0000-FFFF-FFFF00000000}"/>
  </bookViews>
  <sheets>
    <sheet name="JANEIRO" sheetId="15" r:id="rId1"/>
    <sheet name="FEVEREIRO" sheetId="26" r:id="rId2"/>
    <sheet name="MARÇO" sheetId="25" r:id="rId3"/>
    <sheet name="ABRIL" sheetId="24" r:id="rId4"/>
    <sheet name="MAIO" sheetId="23" r:id="rId5"/>
    <sheet name="JUNHO" sheetId="22" r:id="rId6"/>
    <sheet name="JULHO" sheetId="21" r:id="rId7"/>
    <sheet name="AGOSTO" sheetId="20" r:id="rId8"/>
    <sheet name="SETEMBRO" sheetId="19" r:id="rId9"/>
    <sheet name="OUTUBRO" sheetId="18" r:id="rId10"/>
    <sheet name="NOVEMBRO" sheetId="17" r:id="rId11"/>
    <sheet name="DEZEMBRO" sheetId="1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6" roundtripDataSignature="AMtx7mhvDp/9GdzNFAbNkKRfY+fDbaF+/g=="/>
    </ext>
  </extLst>
</workbook>
</file>

<file path=xl/calcChain.xml><?xml version="1.0" encoding="utf-8"?>
<calcChain xmlns="http://schemas.openxmlformats.org/spreadsheetml/2006/main">
  <c r="D23" i="16" l="1"/>
  <c r="D23" i="17"/>
  <c r="D27" i="18"/>
  <c r="D23" i="18"/>
  <c r="G17" i="16"/>
  <c r="F17" i="16"/>
  <c r="M58" i="21"/>
  <c r="I17" i="17"/>
  <c r="I17" i="18"/>
  <c r="I17" i="19"/>
  <c r="I17" i="20"/>
  <c r="I17" i="21"/>
  <c r="I17" i="22"/>
  <c r="E17" i="16"/>
  <c r="O37" i="16"/>
  <c r="H17" i="16"/>
  <c r="H37" i="16"/>
  <c r="G37" i="16"/>
  <c r="D25" i="16"/>
  <c r="D31" i="16"/>
  <c r="D29" i="16"/>
  <c r="D13" i="16"/>
  <c r="D12" i="16"/>
  <c r="H37" i="17"/>
  <c r="H17" i="19"/>
  <c r="P17" i="16"/>
  <c r="O35" i="16"/>
  <c r="O20" i="16"/>
  <c r="O36" i="16" s="1"/>
  <c r="L23" i="16"/>
  <c r="K23" i="16"/>
  <c r="F23" i="16"/>
  <c r="Q15" i="16"/>
  <c r="D12" i="17"/>
  <c r="D25" i="17"/>
  <c r="J37" i="17"/>
  <c r="K23" i="17"/>
  <c r="K37" i="17"/>
  <c r="N37" i="17"/>
  <c r="D31" i="17"/>
  <c r="D26" i="17"/>
  <c r="D13" i="17"/>
  <c r="G17" i="17"/>
  <c r="G37" i="18"/>
  <c r="G37" i="17"/>
  <c r="F17" i="17"/>
  <c r="F37" i="17"/>
  <c r="F23" i="17"/>
  <c r="E17" i="17"/>
  <c r="O35" i="17"/>
  <c r="O20" i="17"/>
  <c r="O36" i="17" s="1"/>
  <c r="Q15" i="17"/>
  <c r="G17" i="18"/>
  <c r="F17" i="18"/>
  <c r="F25" i="18"/>
  <c r="F23" i="18"/>
  <c r="E17" i="18"/>
  <c r="J18" i="18"/>
  <c r="K23" i="18"/>
  <c r="O35" i="18"/>
  <c r="O20" i="18"/>
  <c r="O36" i="18" s="1"/>
  <c r="D26" i="18"/>
  <c r="D25" i="18"/>
  <c r="D29" i="18"/>
  <c r="F37" i="18"/>
  <c r="J37" i="18"/>
  <c r="O37" i="18"/>
  <c r="D12" i="18"/>
  <c r="D31" i="18"/>
  <c r="Q15" i="18"/>
  <c r="D13" i="18"/>
  <c r="E17" i="19"/>
  <c r="F17" i="19"/>
  <c r="F23" i="19"/>
  <c r="G17" i="19"/>
  <c r="J17" i="19"/>
  <c r="O36" i="19"/>
  <c r="O35" i="19"/>
  <c r="O20" i="19"/>
  <c r="M37" i="19"/>
  <c r="J37" i="19"/>
  <c r="H37" i="19"/>
  <c r="F37" i="19"/>
  <c r="D31" i="19"/>
  <c r="D29" i="19"/>
  <c r="D25" i="19"/>
  <c r="D23" i="19"/>
  <c r="Q15" i="19"/>
  <c r="D13" i="19"/>
  <c r="G37" i="19"/>
  <c r="F17" i="20"/>
  <c r="F25" i="20"/>
  <c r="F23" i="20"/>
  <c r="G17" i="20"/>
  <c r="H35" i="20"/>
  <c r="J37" i="20"/>
  <c r="P15" i="20"/>
  <c r="H37" i="20"/>
  <c r="N37" i="20"/>
  <c r="D12" i="20"/>
  <c r="D27" i="20"/>
  <c r="D23" i="20"/>
  <c r="G37" i="20"/>
  <c r="F37" i="20"/>
  <c r="D31" i="20"/>
  <c r="D29" i="20"/>
  <c r="D25" i="20"/>
  <c r="D13" i="20"/>
  <c r="F23" i="21"/>
  <c r="G17" i="21"/>
  <c r="G37" i="21"/>
  <c r="D16" i="21"/>
  <c r="J18" i="21"/>
  <c r="P15" i="21"/>
  <c r="H37" i="21"/>
  <c r="M37" i="21"/>
  <c r="J37" i="21"/>
  <c r="F37" i="21"/>
  <c r="D23" i="21"/>
  <c r="D25" i="21"/>
  <c r="D29" i="21"/>
  <c r="D12" i="21"/>
  <c r="D13" i="21"/>
  <c r="K37" i="22"/>
  <c r="D25" i="22"/>
  <c r="D23" i="22"/>
  <c r="D29" i="22"/>
  <c r="D12" i="22"/>
  <c r="D13" i="22"/>
  <c r="G17" i="22"/>
  <c r="G37" i="22"/>
  <c r="E17" i="22"/>
  <c r="F17" i="22"/>
  <c r="F37" i="22"/>
  <c r="F23" i="22"/>
  <c r="H37" i="22" l="1"/>
  <c r="H17" i="22"/>
  <c r="J37" i="22"/>
  <c r="O17" i="22"/>
  <c r="P15" i="22"/>
  <c r="F18" i="23"/>
  <c r="F37" i="23"/>
  <c r="F23" i="23"/>
  <c r="G17" i="23"/>
  <c r="G37" i="23"/>
  <c r="H37" i="23"/>
  <c r="I17" i="23"/>
  <c r="J17" i="23"/>
  <c r="J37" i="23"/>
  <c r="D29" i="23"/>
  <c r="D12" i="23"/>
  <c r="D23" i="23"/>
  <c r="K23" i="23"/>
  <c r="K37" i="23"/>
  <c r="O17" i="23"/>
  <c r="P15" i="23"/>
  <c r="D25" i="23"/>
  <c r="D13" i="23"/>
  <c r="E17" i="24" l="1"/>
  <c r="F23" i="24"/>
  <c r="F17" i="24"/>
  <c r="G17" i="24"/>
  <c r="G37" i="24"/>
  <c r="H37" i="24"/>
  <c r="H20" i="24"/>
  <c r="I17" i="24"/>
  <c r="M9" i="24"/>
  <c r="P15" i="24"/>
  <c r="D25" i="24"/>
  <c r="J37" i="24"/>
  <c r="F37" i="24"/>
  <c r="D12" i="24"/>
  <c r="D23" i="24"/>
  <c r="D29" i="24"/>
  <c r="D16" i="24"/>
  <c r="D31" i="24"/>
  <c r="D26" i="24"/>
  <c r="D13" i="24"/>
  <c r="J23" i="26"/>
  <c r="J9" i="26"/>
  <c r="E17" i="25"/>
  <c r="F17" i="25"/>
  <c r="F23" i="25"/>
  <c r="D29" i="25"/>
  <c r="G37" i="25"/>
  <c r="G25" i="25"/>
  <c r="D16" i="25"/>
  <c r="H17" i="25"/>
  <c r="H37" i="25"/>
  <c r="I17" i="25"/>
  <c r="J17" i="25"/>
  <c r="O17" i="25"/>
  <c r="P15" i="25"/>
  <c r="M9" i="25"/>
  <c r="J37" i="25"/>
  <c r="F37" i="25"/>
  <c r="E37" i="25"/>
  <c r="D23" i="25"/>
  <c r="D26" i="25"/>
  <c r="D25" i="25"/>
  <c r="D13" i="25"/>
  <c r="N37" i="25"/>
  <c r="K56" i="24"/>
  <c r="M56" i="24" s="1"/>
  <c r="K56" i="25"/>
  <c r="E17" i="26"/>
  <c r="E9" i="26"/>
  <c r="F17" i="26"/>
  <c r="F24" i="26"/>
  <c r="F23" i="26"/>
  <c r="F9" i="26"/>
  <c r="G17" i="26"/>
  <c r="G9" i="26"/>
  <c r="H35" i="26"/>
  <c r="H23" i="26"/>
  <c r="H9" i="26"/>
  <c r="I35" i="26"/>
  <c r="I17" i="26"/>
  <c r="I9" i="26"/>
  <c r="O9" i="15"/>
  <c r="P37" i="24" l="1"/>
  <c r="H17" i="15"/>
  <c r="I17" i="15"/>
  <c r="E18" i="15"/>
  <c r="J9" i="15" l="1"/>
  <c r="J37" i="15"/>
  <c r="K9" i="26"/>
  <c r="M9" i="26"/>
  <c r="H37" i="26"/>
  <c r="G37" i="26"/>
  <c r="O9" i="26"/>
  <c r="P15" i="26"/>
  <c r="L9" i="26"/>
  <c r="J37" i="26"/>
  <c r="F37" i="26"/>
  <c r="D29" i="26"/>
  <c r="D25" i="26"/>
  <c r="D23" i="26"/>
  <c r="D16" i="26"/>
  <c r="D13" i="26"/>
  <c r="D12" i="26"/>
  <c r="O20" i="15"/>
  <c r="M16" i="15"/>
  <c r="K16" i="15"/>
  <c r="N37" i="15" l="1"/>
  <c r="M37" i="15"/>
  <c r="K37" i="15"/>
  <c r="H37" i="15"/>
  <c r="F37" i="15"/>
  <c r="D29" i="15"/>
  <c r="D23" i="15"/>
  <c r="D16" i="15"/>
  <c r="D13" i="15"/>
  <c r="D12" i="15"/>
  <c r="E17" i="15"/>
  <c r="E10" i="15"/>
  <c r="E9" i="15"/>
  <c r="F17" i="15"/>
  <c r="F23" i="15"/>
  <c r="F9" i="15"/>
  <c r="G23" i="15" l="1"/>
  <c r="G17" i="15"/>
  <c r="G9" i="15"/>
  <c r="I9" i="15"/>
  <c r="K9" i="15" l="1"/>
  <c r="L9" i="15"/>
  <c r="M9" i="15"/>
  <c r="H23" i="15"/>
  <c r="H9" i="15"/>
  <c r="L23" i="15"/>
  <c r="L20" i="15"/>
  <c r="P15" i="15"/>
  <c r="I58" i="26"/>
  <c r="G58" i="26"/>
  <c r="E58" i="26"/>
  <c r="K57" i="26"/>
  <c r="M57" i="26" s="1"/>
  <c r="K56" i="26"/>
  <c r="M56" i="26" s="1"/>
  <c r="P37" i="26"/>
  <c r="O35" i="26"/>
  <c r="N35" i="26"/>
  <c r="M35" i="26"/>
  <c r="L35" i="26"/>
  <c r="K35" i="26"/>
  <c r="J35" i="26"/>
  <c r="G35" i="26"/>
  <c r="F35" i="26"/>
  <c r="E35" i="26"/>
  <c r="D35" i="26"/>
  <c r="P34" i="26"/>
  <c r="P33" i="26"/>
  <c r="P32" i="26"/>
  <c r="P31" i="26"/>
  <c r="P30" i="26"/>
  <c r="P29" i="26"/>
  <c r="P28" i="26"/>
  <c r="P27" i="26"/>
  <c r="P26" i="26"/>
  <c r="P25" i="26"/>
  <c r="P24" i="26"/>
  <c r="P23" i="26"/>
  <c r="O20" i="26"/>
  <c r="N20" i="26"/>
  <c r="M20" i="26"/>
  <c r="M36" i="26" s="1"/>
  <c r="L20" i="26"/>
  <c r="L36" i="26" s="1"/>
  <c r="K20" i="26"/>
  <c r="J20" i="26"/>
  <c r="I20" i="26"/>
  <c r="I36" i="26" s="1"/>
  <c r="H20" i="26"/>
  <c r="G20" i="26"/>
  <c r="G36" i="26" s="1"/>
  <c r="F20" i="26"/>
  <c r="E20" i="26"/>
  <c r="D20" i="26"/>
  <c r="P19" i="26"/>
  <c r="P18" i="26"/>
  <c r="P17" i="26"/>
  <c r="P16" i="26"/>
  <c r="P14" i="26"/>
  <c r="P13" i="26"/>
  <c r="P12" i="26"/>
  <c r="P11" i="26"/>
  <c r="P10" i="26"/>
  <c r="P9" i="26"/>
  <c r="G44" i="26" s="1"/>
  <c r="P8" i="26"/>
  <c r="I58" i="25"/>
  <c r="G58" i="25"/>
  <c r="E58" i="25"/>
  <c r="K57" i="25"/>
  <c r="M57" i="25" s="1"/>
  <c r="M56" i="25"/>
  <c r="P37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P34" i="25"/>
  <c r="P33" i="25"/>
  <c r="P32" i="25"/>
  <c r="P31" i="25"/>
  <c r="P30" i="25"/>
  <c r="P29" i="25"/>
  <c r="P28" i="25"/>
  <c r="P27" i="25"/>
  <c r="P26" i="25"/>
  <c r="P25" i="25"/>
  <c r="P24" i="25"/>
  <c r="P23" i="25"/>
  <c r="O20" i="25"/>
  <c r="N20" i="25"/>
  <c r="M20" i="25"/>
  <c r="L20" i="25"/>
  <c r="L36" i="25" s="1"/>
  <c r="K20" i="25"/>
  <c r="J20" i="25"/>
  <c r="I20" i="25"/>
  <c r="H20" i="25"/>
  <c r="H36" i="25" s="1"/>
  <c r="G20" i="25"/>
  <c r="F20" i="25"/>
  <c r="E20" i="25"/>
  <c r="D20" i="25"/>
  <c r="P19" i="25"/>
  <c r="P18" i="25"/>
  <c r="P17" i="25"/>
  <c r="P16" i="25"/>
  <c r="P14" i="25"/>
  <c r="P13" i="25"/>
  <c r="P12" i="25"/>
  <c r="P11" i="25"/>
  <c r="P10" i="25"/>
  <c r="P9" i="25"/>
  <c r="G44" i="25" s="1"/>
  <c r="P8" i="25"/>
  <c r="I58" i="24"/>
  <c r="G58" i="24"/>
  <c r="E58" i="24"/>
  <c r="K57" i="24"/>
  <c r="M57" i="24" s="1"/>
  <c r="O35" i="24"/>
  <c r="N35" i="24"/>
  <c r="M35" i="24"/>
  <c r="L35" i="24"/>
  <c r="K35" i="24"/>
  <c r="J35" i="24"/>
  <c r="I35" i="24"/>
  <c r="H35" i="24"/>
  <c r="H36" i="24" s="1"/>
  <c r="G35" i="24"/>
  <c r="F35" i="24"/>
  <c r="E35" i="24"/>
  <c r="D35" i="24"/>
  <c r="P34" i="24"/>
  <c r="P33" i="24"/>
  <c r="P32" i="24"/>
  <c r="P31" i="24"/>
  <c r="P30" i="24"/>
  <c r="P29" i="24"/>
  <c r="P28" i="24"/>
  <c r="P27" i="24"/>
  <c r="P26" i="24"/>
  <c r="P25" i="24"/>
  <c r="P24" i="24"/>
  <c r="P23" i="24"/>
  <c r="O20" i="24"/>
  <c r="N20" i="24"/>
  <c r="M20" i="24"/>
  <c r="L20" i="24"/>
  <c r="L36" i="24" s="1"/>
  <c r="K20" i="24"/>
  <c r="J20" i="24"/>
  <c r="I20" i="24"/>
  <c r="G20" i="24"/>
  <c r="F20" i="24"/>
  <c r="E20" i="24"/>
  <c r="D20" i="24"/>
  <c r="P19" i="24"/>
  <c r="P18" i="24"/>
  <c r="P17" i="24"/>
  <c r="P16" i="24"/>
  <c r="P14" i="24"/>
  <c r="P13" i="24"/>
  <c r="P12" i="24"/>
  <c r="P11" i="24"/>
  <c r="P10" i="24"/>
  <c r="P9" i="24"/>
  <c r="G44" i="24" s="1"/>
  <c r="P8" i="24"/>
  <c r="I58" i="23"/>
  <c r="G58" i="23"/>
  <c r="E58" i="23"/>
  <c r="M57" i="23"/>
  <c r="K57" i="23"/>
  <c r="K56" i="23"/>
  <c r="K58" i="23" s="1"/>
  <c r="P37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P34" i="23"/>
  <c r="P33" i="23"/>
  <c r="P32" i="23"/>
  <c r="P31" i="23"/>
  <c r="P30" i="23"/>
  <c r="P29" i="23"/>
  <c r="P28" i="23"/>
  <c r="P27" i="23"/>
  <c r="P26" i="23"/>
  <c r="P25" i="23"/>
  <c r="P24" i="23"/>
  <c r="P23" i="23"/>
  <c r="O20" i="23"/>
  <c r="O36" i="23" s="1"/>
  <c r="N20" i="23"/>
  <c r="N36" i="23" s="1"/>
  <c r="M20" i="23"/>
  <c r="M36" i="23" s="1"/>
  <c r="L20" i="23"/>
  <c r="L36" i="23" s="1"/>
  <c r="K20" i="23"/>
  <c r="J20" i="23"/>
  <c r="I20" i="23"/>
  <c r="I36" i="23" s="1"/>
  <c r="H20" i="23"/>
  <c r="H36" i="23" s="1"/>
  <c r="G20" i="23"/>
  <c r="G36" i="23" s="1"/>
  <c r="F20" i="23"/>
  <c r="E20" i="23"/>
  <c r="E36" i="23" s="1"/>
  <c r="D20" i="23"/>
  <c r="P19" i="23"/>
  <c r="P18" i="23"/>
  <c r="P17" i="23"/>
  <c r="P16" i="23"/>
  <c r="P14" i="23"/>
  <c r="P13" i="23"/>
  <c r="P12" i="23"/>
  <c r="P11" i="23"/>
  <c r="P10" i="23"/>
  <c r="P9" i="23"/>
  <c r="G44" i="23" s="1"/>
  <c r="P8" i="23"/>
  <c r="I58" i="22"/>
  <c r="G58" i="22"/>
  <c r="E58" i="22"/>
  <c r="K57" i="22"/>
  <c r="M57" i="22" s="1"/>
  <c r="K56" i="22"/>
  <c r="K58" i="22" s="1"/>
  <c r="P37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P34" i="22"/>
  <c r="P33" i="22"/>
  <c r="P32" i="22"/>
  <c r="P31" i="22"/>
  <c r="P30" i="22"/>
  <c r="P29" i="22"/>
  <c r="P28" i="22"/>
  <c r="P27" i="22"/>
  <c r="P26" i="22"/>
  <c r="P25" i="22"/>
  <c r="P24" i="22"/>
  <c r="P23" i="22"/>
  <c r="O20" i="22"/>
  <c r="O36" i="22" s="1"/>
  <c r="N20" i="22"/>
  <c r="N36" i="22" s="1"/>
  <c r="M20" i="22"/>
  <c r="L20" i="22"/>
  <c r="K20" i="22"/>
  <c r="K36" i="22" s="1"/>
  <c r="J20" i="22"/>
  <c r="I20" i="22"/>
  <c r="I36" i="22" s="1"/>
  <c r="H20" i="22"/>
  <c r="G20" i="22"/>
  <c r="F20" i="22"/>
  <c r="D20" i="22"/>
  <c r="P19" i="22"/>
  <c r="P18" i="22"/>
  <c r="P17" i="22"/>
  <c r="P14" i="22"/>
  <c r="P13" i="22"/>
  <c r="P12" i="22"/>
  <c r="P11" i="22"/>
  <c r="P10" i="22"/>
  <c r="P9" i="22"/>
  <c r="G44" i="22" s="1"/>
  <c r="P8" i="22"/>
  <c r="I58" i="21"/>
  <c r="G58" i="21"/>
  <c r="E58" i="21"/>
  <c r="K57" i="21"/>
  <c r="M57" i="21" s="1"/>
  <c r="K56" i="21"/>
  <c r="P37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P34" i="21"/>
  <c r="P33" i="21"/>
  <c r="P32" i="21"/>
  <c r="P31" i="21"/>
  <c r="P30" i="21"/>
  <c r="P29" i="21"/>
  <c r="P28" i="21"/>
  <c r="P27" i="21"/>
  <c r="P26" i="21"/>
  <c r="P25" i="21"/>
  <c r="P24" i="21"/>
  <c r="P23" i="21"/>
  <c r="O20" i="21"/>
  <c r="N20" i="21"/>
  <c r="N36" i="21" s="1"/>
  <c r="M20" i="21"/>
  <c r="M36" i="21" s="1"/>
  <c r="L20" i="21"/>
  <c r="K20" i="21"/>
  <c r="J20" i="21"/>
  <c r="I20" i="21"/>
  <c r="H20" i="21"/>
  <c r="H36" i="21" s="1"/>
  <c r="G20" i="21"/>
  <c r="F20" i="21"/>
  <c r="F36" i="21" s="1"/>
  <c r="E20" i="21"/>
  <c r="D20" i="21"/>
  <c r="P19" i="21"/>
  <c r="P18" i="21"/>
  <c r="P17" i="21"/>
  <c r="P16" i="21"/>
  <c r="P14" i="21"/>
  <c r="P13" i="21"/>
  <c r="P12" i="21"/>
  <c r="P11" i="21"/>
  <c r="P10" i="21"/>
  <c r="P9" i="21"/>
  <c r="G44" i="21" s="1"/>
  <c r="P8" i="21"/>
  <c r="I58" i="20"/>
  <c r="G58" i="20"/>
  <c r="E58" i="20"/>
  <c r="K57" i="20"/>
  <c r="M57" i="20" s="1"/>
  <c r="M56" i="20"/>
  <c r="K56" i="20"/>
  <c r="P37" i="20"/>
  <c r="O35" i="20"/>
  <c r="N35" i="20"/>
  <c r="M35" i="20"/>
  <c r="L35" i="20"/>
  <c r="K35" i="20"/>
  <c r="J35" i="20"/>
  <c r="I35" i="20"/>
  <c r="G35" i="20"/>
  <c r="F35" i="20"/>
  <c r="E35" i="20"/>
  <c r="D35" i="20"/>
  <c r="P34" i="20"/>
  <c r="P33" i="20"/>
  <c r="P32" i="20"/>
  <c r="P31" i="20"/>
  <c r="P30" i="20"/>
  <c r="P29" i="20"/>
  <c r="P28" i="20"/>
  <c r="P27" i="20"/>
  <c r="P26" i="20"/>
  <c r="P25" i="20"/>
  <c r="P24" i="20"/>
  <c r="P23" i="20"/>
  <c r="O20" i="20"/>
  <c r="O36" i="20" s="1"/>
  <c r="N20" i="20"/>
  <c r="M20" i="20"/>
  <c r="M36" i="20" s="1"/>
  <c r="L20" i="20"/>
  <c r="L36" i="20" s="1"/>
  <c r="K20" i="20"/>
  <c r="J20" i="20"/>
  <c r="I20" i="20"/>
  <c r="H20" i="20"/>
  <c r="H36" i="20" s="1"/>
  <c r="G20" i="20"/>
  <c r="G36" i="20" s="1"/>
  <c r="F20" i="20"/>
  <c r="F36" i="20" s="1"/>
  <c r="E20" i="20"/>
  <c r="E36" i="20" s="1"/>
  <c r="D20" i="20"/>
  <c r="P19" i="20"/>
  <c r="P18" i="20"/>
  <c r="P17" i="20"/>
  <c r="P16" i="20"/>
  <c r="P14" i="20"/>
  <c r="P13" i="20"/>
  <c r="P12" i="20"/>
  <c r="P11" i="20"/>
  <c r="P10" i="20"/>
  <c r="P9" i="20"/>
  <c r="G44" i="20" s="1"/>
  <c r="P8" i="20"/>
  <c r="I58" i="19"/>
  <c r="G58" i="19"/>
  <c r="E58" i="19"/>
  <c r="K57" i="19"/>
  <c r="M57" i="19" s="1"/>
  <c r="K56" i="19"/>
  <c r="M56" i="19" s="1"/>
  <c r="Q37" i="19"/>
  <c r="P35" i="19"/>
  <c r="N35" i="19"/>
  <c r="M35" i="19"/>
  <c r="L35" i="19"/>
  <c r="K35" i="19"/>
  <c r="J35" i="19"/>
  <c r="I35" i="19"/>
  <c r="H35" i="19"/>
  <c r="G35" i="19"/>
  <c r="F35" i="19"/>
  <c r="E35" i="19"/>
  <c r="D35" i="19"/>
  <c r="Q34" i="19"/>
  <c r="Q33" i="19"/>
  <c r="Q32" i="19"/>
  <c r="Q31" i="19"/>
  <c r="Q30" i="19"/>
  <c r="Q29" i="19"/>
  <c r="Q28" i="19"/>
  <c r="Q27" i="19"/>
  <c r="Q26" i="19"/>
  <c r="Q25" i="19"/>
  <c r="Q24" i="19"/>
  <c r="Q23" i="19"/>
  <c r="P20" i="19"/>
  <c r="P36" i="19" s="1"/>
  <c r="N20" i="19"/>
  <c r="N36" i="19" s="1"/>
  <c r="M20" i="19"/>
  <c r="L20" i="19"/>
  <c r="K20" i="19"/>
  <c r="K36" i="19" s="1"/>
  <c r="J20" i="19"/>
  <c r="J36" i="19" s="1"/>
  <c r="I20" i="19"/>
  <c r="I36" i="19" s="1"/>
  <c r="H20" i="19"/>
  <c r="G20" i="19"/>
  <c r="G36" i="19" s="1"/>
  <c r="F20" i="19"/>
  <c r="F36" i="19" s="1"/>
  <c r="E20" i="19"/>
  <c r="D20" i="19"/>
  <c r="Q19" i="19"/>
  <c r="Q18" i="19"/>
  <c r="Q17" i="19"/>
  <c r="Q16" i="19"/>
  <c r="Q14" i="19"/>
  <c r="Q13" i="19"/>
  <c r="Q12" i="19"/>
  <c r="Q11" i="19"/>
  <c r="Q10" i="19"/>
  <c r="Q9" i="19"/>
  <c r="G44" i="19" s="1"/>
  <c r="Q8" i="19"/>
  <c r="I58" i="18"/>
  <c r="G58" i="18"/>
  <c r="E58" i="18"/>
  <c r="K57" i="18"/>
  <c r="M57" i="18" s="1"/>
  <c r="K56" i="18"/>
  <c r="M56" i="18" s="1"/>
  <c r="Q37" i="18"/>
  <c r="P35" i="18"/>
  <c r="N35" i="18"/>
  <c r="M35" i="18"/>
  <c r="L35" i="18"/>
  <c r="K35" i="18"/>
  <c r="J35" i="18"/>
  <c r="I35" i="18"/>
  <c r="H35" i="18"/>
  <c r="G35" i="18"/>
  <c r="F35" i="18"/>
  <c r="E35" i="18"/>
  <c r="D35" i="18"/>
  <c r="Q34" i="18"/>
  <c r="Q33" i="18"/>
  <c r="Q32" i="18"/>
  <c r="Q31" i="18"/>
  <c r="Q30" i="18"/>
  <c r="Q29" i="18"/>
  <c r="Q28" i="18"/>
  <c r="Q27" i="18"/>
  <c r="Q26" i="18"/>
  <c r="Q25" i="18"/>
  <c r="Q24" i="18"/>
  <c r="Q23" i="18"/>
  <c r="P20" i="18"/>
  <c r="P36" i="18" s="1"/>
  <c r="N20" i="18"/>
  <c r="N36" i="18" s="1"/>
  <c r="M20" i="18"/>
  <c r="L20" i="18"/>
  <c r="L36" i="18" s="1"/>
  <c r="K20" i="18"/>
  <c r="K36" i="18" s="1"/>
  <c r="J20" i="18"/>
  <c r="J36" i="18" s="1"/>
  <c r="I20" i="18"/>
  <c r="H20" i="18"/>
  <c r="G20" i="18"/>
  <c r="F20" i="18"/>
  <c r="E20" i="18"/>
  <c r="D20" i="18"/>
  <c r="Q19" i="18"/>
  <c r="Q18" i="18"/>
  <c r="Q17" i="18"/>
  <c r="Q16" i="18"/>
  <c r="Q14" i="18"/>
  <c r="Q13" i="18"/>
  <c r="Q12" i="18"/>
  <c r="Q11" i="18"/>
  <c r="Q10" i="18"/>
  <c r="Q9" i="18"/>
  <c r="G44" i="18" s="1"/>
  <c r="Q8" i="18"/>
  <c r="I58" i="17"/>
  <c r="G58" i="17"/>
  <c r="E58" i="17"/>
  <c r="K57" i="17"/>
  <c r="M57" i="17" s="1"/>
  <c r="K56" i="17"/>
  <c r="M56" i="17" s="1"/>
  <c r="Q37" i="17"/>
  <c r="P35" i="17"/>
  <c r="N35" i="17"/>
  <c r="M35" i="17"/>
  <c r="L35" i="17"/>
  <c r="K35" i="17"/>
  <c r="J35" i="17"/>
  <c r="I35" i="17"/>
  <c r="H35" i="17"/>
  <c r="G35" i="17"/>
  <c r="F35" i="17"/>
  <c r="E35" i="17"/>
  <c r="D35" i="17"/>
  <c r="Q34" i="17"/>
  <c r="Q33" i="17"/>
  <c r="Q32" i="17"/>
  <c r="Q31" i="17"/>
  <c r="Q30" i="17"/>
  <c r="Q29" i="17"/>
  <c r="Q28" i="17"/>
  <c r="Q27" i="17"/>
  <c r="Q26" i="17"/>
  <c r="Q25" i="17"/>
  <c r="Q24" i="17"/>
  <c r="Q23" i="17"/>
  <c r="P20" i="17"/>
  <c r="N20" i="17"/>
  <c r="M20" i="17"/>
  <c r="L20" i="17"/>
  <c r="L36" i="17" s="1"/>
  <c r="K20" i="17"/>
  <c r="J20" i="17"/>
  <c r="I20" i="17"/>
  <c r="H20" i="17"/>
  <c r="H36" i="17" s="1"/>
  <c r="G20" i="17"/>
  <c r="G36" i="17" s="1"/>
  <c r="F20" i="17"/>
  <c r="E20" i="17"/>
  <c r="E36" i="17" s="1"/>
  <c r="D20" i="17"/>
  <c r="Q19" i="17"/>
  <c r="Q18" i="17"/>
  <c r="Q17" i="17"/>
  <c r="Q16" i="17"/>
  <c r="Q14" i="17"/>
  <c r="Q13" i="17"/>
  <c r="Q12" i="17"/>
  <c r="Q11" i="17"/>
  <c r="Q10" i="17"/>
  <c r="Q9" i="17"/>
  <c r="G44" i="17" s="1"/>
  <c r="Q8" i="17"/>
  <c r="I58" i="16"/>
  <c r="G58" i="16"/>
  <c r="E58" i="16"/>
  <c r="K57" i="16"/>
  <c r="K56" i="16"/>
  <c r="M56" i="16" s="1"/>
  <c r="Q37" i="16"/>
  <c r="P35" i="16"/>
  <c r="N35" i="16"/>
  <c r="M35" i="16"/>
  <c r="L35" i="16"/>
  <c r="K35" i="16"/>
  <c r="J35" i="16"/>
  <c r="I35" i="16"/>
  <c r="H35" i="16"/>
  <c r="G35" i="16"/>
  <c r="F35" i="16"/>
  <c r="E35" i="16"/>
  <c r="D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P20" i="16"/>
  <c r="N20" i="16"/>
  <c r="M20" i="16"/>
  <c r="L20" i="16"/>
  <c r="L36" i="16" s="1"/>
  <c r="K20" i="16"/>
  <c r="J20" i="16"/>
  <c r="I20" i="16"/>
  <c r="I36" i="16" s="1"/>
  <c r="H20" i="16"/>
  <c r="G20" i="16"/>
  <c r="F20" i="16"/>
  <c r="E20" i="16"/>
  <c r="D20" i="16"/>
  <c r="Q19" i="16"/>
  <c r="Q18" i="16"/>
  <c r="Q17" i="16"/>
  <c r="Q16" i="16"/>
  <c r="Q14" i="16"/>
  <c r="Q13" i="16"/>
  <c r="Q12" i="16"/>
  <c r="Q11" i="16"/>
  <c r="Q10" i="16"/>
  <c r="Q9" i="16"/>
  <c r="G44" i="16" s="1"/>
  <c r="Q8" i="16"/>
  <c r="K57" i="15"/>
  <c r="M57" i="15" s="1"/>
  <c r="I58" i="15"/>
  <c r="G58" i="15"/>
  <c r="E58" i="15"/>
  <c r="K56" i="15"/>
  <c r="M56" i="15" s="1"/>
  <c r="O35" i="15"/>
  <c r="N35" i="15"/>
  <c r="M35" i="15"/>
  <c r="L35" i="15"/>
  <c r="K35" i="15"/>
  <c r="J35" i="15"/>
  <c r="I35" i="15"/>
  <c r="H35" i="15"/>
  <c r="P34" i="15"/>
  <c r="P33" i="15"/>
  <c r="P32" i="15"/>
  <c r="P31" i="15"/>
  <c r="P30" i="15"/>
  <c r="P29" i="15"/>
  <c r="P28" i="15"/>
  <c r="P27" i="15"/>
  <c r="P26" i="15"/>
  <c r="P25" i="15"/>
  <c r="P24" i="15"/>
  <c r="G35" i="15"/>
  <c r="F35" i="15"/>
  <c r="E35" i="15"/>
  <c r="M20" i="15"/>
  <c r="P19" i="15"/>
  <c r="P18" i="15"/>
  <c r="P16" i="15"/>
  <c r="P14" i="15"/>
  <c r="P13" i="15"/>
  <c r="P12" i="15"/>
  <c r="P11" i="15"/>
  <c r="P10" i="15"/>
  <c r="N20" i="15"/>
  <c r="K20" i="15"/>
  <c r="J20" i="15"/>
  <c r="G20" i="15"/>
  <c r="P8" i="15"/>
  <c r="I36" i="17" l="1"/>
  <c r="I36" i="18"/>
  <c r="I36" i="20"/>
  <c r="I36" i="21"/>
  <c r="H36" i="16"/>
  <c r="K58" i="16"/>
  <c r="M58" i="16" s="1"/>
  <c r="N36" i="16"/>
  <c r="N36" i="17"/>
  <c r="N36" i="20"/>
  <c r="H36" i="18"/>
  <c r="H36" i="19"/>
  <c r="P36" i="16"/>
  <c r="M36" i="16"/>
  <c r="K36" i="16"/>
  <c r="J36" i="16"/>
  <c r="G36" i="16"/>
  <c r="F36" i="16"/>
  <c r="Q35" i="16"/>
  <c r="E36" i="16"/>
  <c r="Q20" i="16"/>
  <c r="E44" i="16"/>
  <c r="I44" i="16" s="1"/>
  <c r="F36" i="17"/>
  <c r="J36" i="17"/>
  <c r="M36" i="17"/>
  <c r="P36" i="17"/>
  <c r="K36" i="17"/>
  <c r="Q35" i="17"/>
  <c r="Q20" i="17"/>
  <c r="E44" i="17"/>
  <c r="G36" i="18"/>
  <c r="F36" i="18"/>
  <c r="E36" i="18"/>
  <c r="M36" i="18"/>
  <c r="Q35" i="18"/>
  <c r="Q36" i="18" s="1"/>
  <c r="E44" i="18"/>
  <c r="I44" i="18" s="1"/>
  <c r="E36" i="19"/>
  <c r="L36" i="19"/>
  <c r="M36" i="19"/>
  <c r="E44" i="19"/>
  <c r="I44" i="19" s="1"/>
  <c r="Q35" i="19"/>
  <c r="Q20" i="19"/>
  <c r="J36" i="20"/>
  <c r="K36" i="20"/>
  <c r="E44" i="20"/>
  <c r="I44" i="20" s="1"/>
  <c r="P35" i="20"/>
  <c r="P20" i="20"/>
  <c r="E36" i="21"/>
  <c r="G36" i="21"/>
  <c r="J36" i="21"/>
  <c r="O36" i="21"/>
  <c r="L36" i="21"/>
  <c r="E44" i="21"/>
  <c r="I44" i="21" s="1"/>
  <c r="K36" i="21"/>
  <c r="P35" i="21"/>
  <c r="P20" i="21"/>
  <c r="F36" i="22"/>
  <c r="G36" i="22"/>
  <c r="H36" i="22"/>
  <c r="J36" i="22"/>
  <c r="L36" i="22"/>
  <c r="M36" i="22"/>
  <c r="P35" i="22"/>
  <c r="E44" i="22"/>
  <c r="I44" i="22" s="1"/>
  <c r="F36" i="23"/>
  <c r="J36" i="23"/>
  <c r="K36" i="23"/>
  <c r="E44" i="23"/>
  <c r="I44" i="23" s="1"/>
  <c r="P20" i="23"/>
  <c r="P35" i="23"/>
  <c r="Q20" i="18"/>
  <c r="E36" i="24"/>
  <c r="F36" i="24"/>
  <c r="G36" i="24"/>
  <c r="I36" i="24"/>
  <c r="J36" i="24"/>
  <c r="K36" i="24"/>
  <c r="M36" i="24"/>
  <c r="N36" i="24"/>
  <c r="E44" i="24"/>
  <c r="I44" i="24" s="1"/>
  <c r="O36" i="24"/>
  <c r="P20" i="24"/>
  <c r="P35" i="24"/>
  <c r="O36" i="26"/>
  <c r="N36" i="26"/>
  <c r="K36" i="26"/>
  <c r="E36" i="25"/>
  <c r="P36" i="25" s="1"/>
  <c r="F36" i="25"/>
  <c r="G36" i="25"/>
  <c r="I36" i="25"/>
  <c r="J36" i="25"/>
  <c r="K36" i="25"/>
  <c r="O36" i="25"/>
  <c r="N36" i="25"/>
  <c r="M36" i="25"/>
  <c r="K58" i="17"/>
  <c r="M58" i="17" s="1"/>
  <c r="K58" i="18"/>
  <c r="K58" i="19"/>
  <c r="M58" i="19" s="1"/>
  <c r="K58" i="20"/>
  <c r="M58" i="20" s="1"/>
  <c r="K58" i="21"/>
  <c r="K58" i="15"/>
  <c r="M56" i="22"/>
  <c r="M56" i="23"/>
  <c r="K58" i="24"/>
  <c r="M58" i="24" s="1"/>
  <c r="K58" i="25"/>
  <c r="M58" i="25"/>
  <c r="K58" i="26"/>
  <c r="M58" i="26" s="1"/>
  <c r="E36" i="26"/>
  <c r="F36" i="26"/>
  <c r="H36" i="26"/>
  <c r="P35" i="25"/>
  <c r="P20" i="25"/>
  <c r="E44" i="25"/>
  <c r="I44" i="25" s="1"/>
  <c r="J36" i="26"/>
  <c r="E44" i="26"/>
  <c r="I44" i="26" s="1"/>
  <c r="P35" i="26"/>
  <c r="P20" i="26"/>
  <c r="G36" i="15"/>
  <c r="J36" i="15"/>
  <c r="N36" i="15"/>
  <c r="O36" i="15"/>
  <c r="M58" i="23"/>
  <c r="M58" i="22"/>
  <c r="M58" i="18"/>
  <c r="I44" i="17"/>
  <c r="M57" i="16"/>
  <c r="K36" i="15"/>
  <c r="H20" i="15"/>
  <c r="H36" i="15" s="1"/>
  <c r="L36" i="15"/>
  <c r="P36" i="15" s="1"/>
  <c r="E20" i="15"/>
  <c r="E36" i="15" s="1"/>
  <c r="I20" i="15"/>
  <c r="I36" i="15" s="1"/>
  <c r="F20" i="15"/>
  <c r="F36" i="15" s="1"/>
  <c r="P17" i="15"/>
  <c r="M36" i="15"/>
  <c r="D35" i="15"/>
  <c r="P37" i="15"/>
  <c r="M58" i="15"/>
  <c r="D20" i="15"/>
  <c r="P9" i="15"/>
  <c r="P23" i="15"/>
  <c r="P35" i="15" s="1"/>
  <c r="Q36" i="16" l="1"/>
  <c r="Q36" i="17"/>
  <c r="Q36" i="19"/>
  <c r="P36" i="20"/>
  <c r="P36" i="21"/>
  <c r="P36" i="23"/>
  <c r="P36" i="24"/>
  <c r="P36" i="26"/>
  <c r="E44" i="15"/>
  <c r="G44" i="15"/>
  <c r="P20" i="15"/>
  <c r="I44" i="15" l="1"/>
  <c r="P16" i="22"/>
  <c r="P20" i="22" s="1"/>
  <c r="P36" i="22" s="1"/>
  <c r="E20" i="22"/>
  <c r="E36" i="22" s="1"/>
</calcChain>
</file>

<file path=xl/sharedStrings.xml><?xml version="1.0" encoding="utf-8"?>
<sst xmlns="http://schemas.openxmlformats.org/spreadsheetml/2006/main" count="908" uniqueCount="74">
  <si>
    <t>RELATÓRIO FINANCEIRO MENSAL DA REDE ECOLÓGICA</t>
  </si>
  <si>
    <t>RECEITAS</t>
  </si>
  <si>
    <t>REDE</t>
  </si>
  <si>
    <t>NÚCLEOS</t>
  </si>
  <si>
    <t>TOTAL</t>
  </si>
  <si>
    <t>HUMAITÁ</t>
  </si>
  <si>
    <t>SANTA TERESA</t>
  </si>
  <si>
    <t>URCA</t>
  </si>
  <si>
    <t>GRAJAÚ</t>
  </si>
  <si>
    <t>NITERÓI</t>
  </si>
  <si>
    <t>FEIRA DA GLÓRIA</t>
  </si>
  <si>
    <t>CAMPO GRANDE</t>
  </si>
  <si>
    <t>VARGEM GRANDE</t>
  </si>
  <si>
    <t>CAXIAS</t>
  </si>
  <si>
    <t>NOVA IGUAÇU</t>
  </si>
  <si>
    <t>SÃO JOÃO DE MERITI</t>
  </si>
  <si>
    <t>ASSOCIAÇÕES</t>
  </si>
  <si>
    <t>ENCOMENDA DE PRODUTOS</t>
  </si>
  <si>
    <t>*</t>
  </si>
  <si>
    <t>CAIXA DOS NÚCLEOS DO MÊS</t>
  </si>
  <si>
    <t>CAIXA DA REDE</t>
  </si>
  <si>
    <t xml:space="preserve">DOAÇÕES </t>
  </si>
  <si>
    <t>DOAÇÕES CAMPO/CIDADE</t>
  </si>
  <si>
    <t>OUTRAS RECEITAS(MESES ANTERIORES)</t>
  </si>
  <si>
    <t>DÉBITO/CRÉDITO DE CESTANTES</t>
  </si>
  <si>
    <t>TOTAL DAS RECEITAS</t>
  </si>
  <si>
    <t>DESPESAS</t>
  </si>
  <si>
    <t>PAGAMENTOS AOS PRODUTORES</t>
  </si>
  <si>
    <t>DESPESAS OPERACIONAIS DOS NÚCLEOS</t>
  </si>
  <si>
    <t>DESPESAS ADMINISTRATIVAS/OPERACIONAIS DA REDE</t>
  </si>
  <si>
    <t>DESPESAS OPERACIONAIS DO MUTIRÃO</t>
  </si>
  <si>
    <t>PROJETOS SOCIAIS/CAMPO CIDADE/CAMPO FAVELA</t>
  </si>
  <si>
    <t>TARIFAS BANCÁRIAS BRADESCO</t>
  </si>
  <si>
    <t>SEGURO MAIS PROTEÇÃO BRADESCO</t>
  </si>
  <si>
    <t>DIVIDA DE EX-ASSOCIADOS</t>
  </si>
  <si>
    <t>TOTAL DAS DESPESAS</t>
  </si>
  <si>
    <t>SALDO</t>
  </si>
  <si>
    <t>FUNDO DE RESERVA*</t>
  </si>
  <si>
    <t>CONTA</t>
  </si>
  <si>
    <t>VENDAS DOS PRODUTOS</t>
  </si>
  <si>
    <t>MOVIMENTO BANCÁRIO</t>
  </si>
  <si>
    <t>CONTAS BANCÁRIAS</t>
  </si>
  <si>
    <t>SALDO ANTERIOR</t>
  </si>
  <si>
    <t>MOVIMENTO DO MÊS</t>
  </si>
  <si>
    <t>SALDO ATUAL</t>
  </si>
  <si>
    <t>CRÉDITO</t>
  </si>
  <si>
    <t>DÉBITO</t>
  </si>
  <si>
    <t>BRADESCO</t>
  </si>
  <si>
    <t>DESPESAS DA REDE DO PERÍODO ANTERIOR</t>
  </si>
  <si>
    <t>EMPRESTIMO A PRODUTOR</t>
  </si>
  <si>
    <t>DEPÓSITOS A COMPENSAR OU DEVOLVIDOS</t>
  </si>
  <si>
    <t>ALUGUEL MUTIRÃO</t>
  </si>
  <si>
    <t>DEPÓSITOS COMPENSADOS NAS CONTAS DA REDE</t>
  </si>
  <si>
    <t>CEF</t>
  </si>
  <si>
    <t>RENDIMENTOS CEF</t>
  </si>
  <si>
    <t>TARIFAS BANCÁRIAS CEF</t>
  </si>
  <si>
    <t>MÊS: JANEIRO 2021</t>
  </si>
  <si>
    <t>MÊS: MARÇO 2021</t>
  </si>
  <si>
    <t>MÊS: ABRIL 2021</t>
  </si>
  <si>
    <t>MÊS: JUNHO 2021</t>
  </si>
  <si>
    <t>MÊS: JULHO 2021</t>
  </si>
  <si>
    <t>MÊS: AGOSTO 2021</t>
  </si>
  <si>
    <t>MÊS: NOVEMBRO 2021</t>
  </si>
  <si>
    <t>MÊS: DEZEMBRO 2021</t>
  </si>
  <si>
    <t>MÊS: OUTUBRO 2021</t>
  </si>
  <si>
    <t>RENDIMENTOS CONTA BRADESCO</t>
  </si>
  <si>
    <t>DOAÇOES CAMPO/FAVELA</t>
  </si>
  <si>
    <t>MÊS: FEVEREIRO 2021</t>
  </si>
  <si>
    <t>MÊS:MAIO 2021</t>
  </si>
  <si>
    <t>SETEMBRO 2021</t>
  </si>
  <si>
    <t>LOGISTICA MOINHO</t>
  </si>
  <si>
    <t>LOGÍSTICA</t>
  </si>
  <si>
    <t>LOGÍSTICA MOINHO</t>
  </si>
  <si>
    <t>ITABORAI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</si>
</sst>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#,##0.00\ ;&quot; (&quot;#,##0.00\);&quot; -&quot;#\ ;@\ "/>
  </numFmts>
  <fonts count="25" x14ac:knownFonts="1">
    <font>
      <sz val="10"/>
      <color rgb="FF000000"/>
      <name val="Arial"/>
    </font>
    <font>
      <b/>
      <sz val="36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26"/>
      <color theme="1"/>
      <name val="Arial"/>
      <family val="2"/>
    </font>
    <font>
      <sz val="24"/>
      <color theme="1"/>
      <name val="Arial"/>
      <family val="2"/>
    </font>
    <font>
      <sz val="26"/>
      <color theme="1"/>
      <name val="Arial"/>
      <family val="2"/>
    </font>
    <font>
      <sz val="25"/>
      <color theme="1"/>
      <name val="Arial"/>
      <family val="2"/>
    </font>
    <font>
      <b/>
      <sz val="25"/>
      <color theme="1"/>
      <name val="Arial"/>
      <family val="2"/>
    </font>
    <font>
      <b/>
      <sz val="10"/>
      <color theme="1"/>
      <name val="Arial"/>
      <family val="2"/>
    </font>
    <font>
      <b/>
      <sz val="22"/>
      <color theme="1"/>
      <name val="Arial"/>
      <family val="2"/>
    </font>
    <font>
      <b/>
      <sz val="28"/>
      <color theme="1"/>
      <name val="Arial"/>
      <family val="2"/>
    </font>
    <font>
      <sz val="27"/>
      <color theme="1"/>
      <name val="Arial"/>
      <family val="2"/>
    </font>
    <font>
      <b/>
      <sz val="28"/>
      <color rgb="FFFF0000"/>
      <name val="Arial"/>
      <family val="2"/>
    </font>
    <font>
      <b/>
      <sz val="24"/>
      <color theme="1"/>
      <name val="Arial"/>
      <family val="2"/>
    </font>
    <font>
      <b/>
      <sz val="27"/>
      <color theme="1"/>
      <name val="Arial"/>
      <family val="2"/>
    </font>
    <font>
      <b/>
      <sz val="27"/>
      <color rgb="FFFF0000"/>
      <name val="Arial"/>
      <family val="2"/>
    </font>
    <font>
      <b/>
      <sz val="28"/>
      <color rgb="FF434343"/>
      <name val="Arial"/>
      <family val="2"/>
    </font>
    <font>
      <b/>
      <sz val="26"/>
      <color theme="1"/>
      <name val="Arial"/>
      <family val="2"/>
    </font>
    <font>
      <b/>
      <sz val="36"/>
      <color theme="1"/>
      <name val="Arial"/>
      <family val="2"/>
    </font>
    <font>
      <b/>
      <sz val="28"/>
      <color theme="1"/>
      <name val="Arial"/>
      <family val="2"/>
    </font>
    <font>
      <b/>
      <sz val="2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4" fontId="5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49" fontId="8" fillId="0" borderId="4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165" fontId="4" fillId="0" borderId="11" xfId="0" applyNumberFormat="1" applyFont="1" applyBorder="1" applyAlignment="1">
      <alignment horizontal="right" vertical="center"/>
    </xf>
    <xf numFmtId="4" fontId="10" fillId="0" borderId="0" xfId="0" applyNumberFormat="1" applyFont="1" applyAlignment="1">
      <alignment vertical="center"/>
    </xf>
    <xf numFmtId="164" fontId="4" fillId="0" borderId="8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vertical="center"/>
    </xf>
    <xf numFmtId="0" fontId="6" fillId="0" borderId="0" xfId="0" applyFont="1" applyAlignment="1"/>
    <xf numFmtId="0" fontId="3" fillId="0" borderId="0" xfId="0" applyFont="1" applyAlignment="1"/>
    <xf numFmtId="4" fontId="3" fillId="0" borderId="0" xfId="0" applyNumberFormat="1" applyFont="1" applyAlignment="1"/>
    <xf numFmtId="49" fontId="8" fillId="0" borderId="11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right" vertical="center"/>
    </xf>
    <xf numFmtId="165" fontId="7" fillId="0" borderId="11" xfId="0" applyNumberFormat="1" applyFont="1" applyBorder="1" applyAlignment="1">
      <alignment horizontal="right" vertical="center"/>
    </xf>
    <xf numFmtId="164" fontId="14" fillId="0" borderId="11" xfId="0" applyNumberFormat="1" applyFont="1" applyBorder="1" applyAlignment="1">
      <alignment vertical="center"/>
    </xf>
    <xf numFmtId="164" fontId="8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0" fontId="4" fillId="0" borderId="11" xfId="0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right" vertical="center"/>
    </xf>
    <xf numFmtId="164" fontId="18" fillId="0" borderId="11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/>
    <xf numFmtId="49" fontId="4" fillId="0" borderId="4" xfId="0" applyNumberFormat="1" applyFont="1" applyBorder="1" applyAlignment="1">
      <alignment horizontal="left" vertical="center" wrapText="1"/>
    </xf>
    <xf numFmtId="0" fontId="2" fillId="0" borderId="0" xfId="0" applyFont="1" applyBorder="1"/>
    <xf numFmtId="0" fontId="1" fillId="0" borderId="22" xfId="0" applyFont="1" applyBorder="1" applyAlignment="1">
      <alignment horizontal="center" vertical="center"/>
    </xf>
    <xf numFmtId="0" fontId="2" fillId="0" borderId="26" xfId="0" applyFont="1" applyBorder="1"/>
    <xf numFmtId="0" fontId="2" fillId="0" borderId="21" xfId="0" applyFont="1" applyBorder="1"/>
    <xf numFmtId="0" fontId="2" fillId="0" borderId="25" xfId="0" applyFont="1" applyBorder="1"/>
    <xf numFmtId="0" fontId="2" fillId="0" borderId="2" xfId="0" applyFont="1" applyBorder="1"/>
    <xf numFmtId="0" fontId="2" fillId="0" borderId="24" xfId="0" applyFont="1" applyBorder="1"/>
    <xf numFmtId="49" fontId="1" fillId="0" borderId="5" xfId="0" applyNumberFormat="1" applyFont="1" applyBorder="1" applyAlignment="1">
      <alignment horizontal="center" vertical="center"/>
    </xf>
    <xf numFmtId="0" fontId="2" fillId="0" borderId="6" xfId="0" applyFont="1" applyBorder="1"/>
    <xf numFmtId="0" fontId="2" fillId="0" borderId="9" xfId="0" applyFont="1" applyBorder="1"/>
    <xf numFmtId="0" fontId="4" fillId="0" borderId="8" xfId="0" applyFont="1" applyBorder="1" applyAlignment="1">
      <alignment horizontal="center" vertical="center"/>
    </xf>
    <xf numFmtId="0" fontId="2" fillId="0" borderId="10" xfId="0" applyFont="1" applyBorder="1"/>
    <xf numFmtId="0" fontId="4" fillId="0" borderId="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2" fillId="0" borderId="23" xfId="0" applyFont="1" applyBorder="1"/>
    <xf numFmtId="0" fontId="2" fillId="0" borderId="3" xfId="0" applyFont="1" applyBorder="1"/>
    <xf numFmtId="0" fontId="11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11" fillId="0" borderId="15" xfId="0" applyFont="1" applyBorder="1" applyAlignment="1">
      <alignment horizontal="center" vertical="center" wrapText="1"/>
    </xf>
    <xf numFmtId="9" fontId="11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/>
    <xf numFmtId="0" fontId="11" fillId="0" borderId="16" xfId="0" applyFont="1" applyBorder="1" applyAlignment="1">
      <alignment horizontal="center" vertical="center" wrapText="1"/>
    </xf>
    <xf numFmtId="0" fontId="2" fillId="0" borderId="17" xfId="0" applyFont="1" applyBorder="1"/>
    <xf numFmtId="4" fontId="11" fillId="0" borderId="18" xfId="0" applyNumberFormat="1" applyFont="1" applyBorder="1" applyAlignment="1">
      <alignment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/>
    <xf numFmtId="0" fontId="20" fillId="0" borderId="15" xfId="0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vertical="center" wrapText="1"/>
    </xf>
    <xf numFmtId="4" fontId="12" fillId="0" borderId="5" xfId="0" applyNumberFormat="1" applyFont="1" applyBorder="1" applyAlignment="1">
      <alignment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164" fontId="21" fillId="0" borderId="5" xfId="0" applyNumberFormat="1" applyFont="1" applyBorder="1" applyAlignment="1">
      <alignment horizontal="center" vertical="center" wrapText="1"/>
    </xf>
    <xf numFmtId="164" fontId="22" fillId="0" borderId="9" xfId="0" applyNumberFormat="1" applyFont="1" applyBorder="1"/>
    <xf numFmtId="0" fontId="1" fillId="0" borderId="20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5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/>
    <xf numFmtId="49" fontId="19" fillId="0" borderId="5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 wrapText="1"/>
    </xf>
    <xf numFmtId="0" fontId="24" fillId="0" borderId="9" xfId="0" applyFont="1" applyBorder="1"/>
    <xf numFmtId="4" fontId="21" fillId="0" borderId="5" xfId="0" applyNumberFormat="1" applyFont="1" applyBorder="1" applyAlignment="1">
      <alignment horizontal="center" vertical="center" wrapText="1"/>
    </xf>
    <xf numFmtId="0" fontId="23" fillId="0" borderId="9" xfId="0" applyFont="1" applyBorder="1"/>
    <xf numFmtId="0" fontId="23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6F8F0-2F6E-490A-B9CF-96C6EA3FBF97}">
  <dimension ref="A1:Z1001"/>
  <sheetViews>
    <sheetView showGridLines="0" topLeftCell="A41" zoomScale="50" zoomScaleNormal="50" workbookViewId="0">
      <selection activeCell="W11" sqref="W11"/>
    </sheetView>
  </sheetViews>
  <sheetFormatPr defaultColWidth="14.42578125" defaultRowHeight="15" customHeight="1" x14ac:dyDescent="0.2"/>
  <cols>
    <col min="1" max="2" width="8" customWidth="1"/>
    <col min="3" max="3" width="138.28515625" customWidth="1"/>
    <col min="4" max="16" width="29.7109375" customWidth="1"/>
    <col min="17" max="17" width="8" customWidth="1"/>
    <col min="18" max="18" width="25.85546875" customWidth="1"/>
    <col min="19" max="26" width="8" customWidth="1"/>
  </cols>
  <sheetData>
    <row r="1" spans="1:26" ht="83.25" customHeight="1" x14ac:dyDescent="0.2"/>
    <row r="2" spans="1:26" ht="13.5" customHeight="1" x14ac:dyDescent="0.2"/>
    <row r="3" spans="1:26" ht="37.5" customHeight="1" x14ac:dyDescent="0.2">
      <c r="C3" s="44" t="s">
        <v>0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</row>
    <row r="4" spans="1:26" ht="37.5" customHeight="1" x14ac:dyDescent="0.2"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</row>
    <row r="5" spans="1:26" ht="69.75" customHeight="1" x14ac:dyDescent="0.2">
      <c r="A5" s="1"/>
      <c r="B5" s="1"/>
      <c r="C5" s="26"/>
      <c r="D5" s="50" t="s">
        <v>56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8" customHeight="1" x14ac:dyDescent="0.2">
      <c r="C6" s="53" t="s">
        <v>1</v>
      </c>
      <c r="D6" s="53" t="s">
        <v>2</v>
      </c>
      <c r="E6" s="55" t="s">
        <v>3</v>
      </c>
      <c r="F6" s="51"/>
      <c r="G6" s="51"/>
      <c r="H6" s="51"/>
      <c r="I6" s="51"/>
      <c r="J6" s="51"/>
      <c r="K6" s="51"/>
      <c r="L6" s="51"/>
      <c r="M6" s="51"/>
      <c r="N6" s="51"/>
      <c r="O6" s="52"/>
      <c r="P6" s="53" t="s">
        <v>4</v>
      </c>
    </row>
    <row r="7" spans="1:26" ht="60.75" customHeight="1" x14ac:dyDescent="0.2">
      <c r="A7" s="2"/>
      <c r="B7" s="2"/>
      <c r="C7" s="54"/>
      <c r="D7" s="54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40" t="s">
        <v>70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4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1.25" customHeight="1" x14ac:dyDescent="0.4">
      <c r="A8" s="4"/>
      <c r="B8" s="4"/>
      <c r="C8" s="28" t="s">
        <v>16</v>
      </c>
      <c r="D8" s="6">
        <v>0</v>
      </c>
      <c r="E8" s="5">
        <v>1010</v>
      </c>
      <c r="F8" s="5">
        <v>1565</v>
      </c>
      <c r="G8" s="5">
        <v>1330</v>
      </c>
      <c r="H8" s="5">
        <v>1580</v>
      </c>
      <c r="I8" s="5">
        <v>690</v>
      </c>
      <c r="J8" s="5">
        <v>0</v>
      </c>
      <c r="K8" s="5">
        <v>540</v>
      </c>
      <c r="L8" s="5">
        <v>440</v>
      </c>
      <c r="M8" s="5">
        <v>210</v>
      </c>
      <c r="N8" s="5">
        <v>0</v>
      </c>
      <c r="O8" s="5">
        <v>105</v>
      </c>
      <c r="P8" s="27">
        <f t="shared" ref="P8:P19" si="0">SUM(D8:O8)</f>
        <v>7470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41.25" customHeight="1" x14ac:dyDescent="0.4">
      <c r="A9" s="4"/>
      <c r="B9" s="4"/>
      <c r="C9" s="28" t="s">
        <v>17</v>
      </c>
      <c r="D9" s="6">
        <v>0</v>
      </c>
      <c r="E9" s="5">
        <f>3692.48-130</f>
        <v>3562.48</v>
      </c>
      <c r="F9" s="5">
        <f>12333.46-170</f>
        <v>12163.46</v>
      </c>
      <c r="G9" s="5">
        <f>11837.42-1600</f>
        <v>10237.42</v>
      </c>
      <c r="H9" s="5">
        <f>8599.38+1046.02</f>
        <v>9645.4</v>
      </c>
      <c r="I9" s="5">
        <f>4700.55-110</f>
        <v>4590.55</v>
      </c>
      <c r="J9" s="5">
        <f>1599.94</f>
        <v>1599.94</v>
      </c>
      <c r="K9" s="5">
        <f>3801.56-510</f>
        <v>3291.56</v>
      </c>
      <c r="L9" s="5">
        <f>2781.67-50</f>
        <v>2731.67</v>
      </c>
      <c r="M9" s="5">
        <f>930.74-40</f>
        <v>890.74</v>
      </c>
      <c r="N9" s="5">
        <v>-280</v>
      </c>
      <c r="O9" s="5">
        <f>825.13-30</f>
        <v>795.13</v>
      </c>
      <c r="P9" s="27">
        <f t="shared" si="0"/>
        <v>49228.35</v>
      </c>
      <c r="Q9" s="4" t="s">
        <v>18</v>
      </c>
      <c r="R9" s="4"/>
      <c r="S9" s="4"/>
      <c r="T9" s="4"/>
      <c r="U9" s="4"/>
      <c r="V9" s="4"/>
      <c r="W9" s="4"/>
      <c r="X9" s="4"/>
      <c r="Y9" s="4"/>
      <c r="Z9" s="4"/>
    </row>
    <row r="10" spans="1:26" ht="41.25" customHeight="1" x14ac:dyDescent="0.4">
      <c r="A10" s="4"/>
      <c r="B10" s="4"/>
      <c r="C10" s="28" t="s">
        <v>19</v>
      </c>
      <c r="D10" s="6">
        <v>0</v>
      </c>
      <c r="E10" s="5">
        <f>1065.61</f>
        <v>1065.6099999999999</v>
      </c>
      <c r="F10" s="5">
        <v>-307.51</v>
      </c>
      <c r="G10" s="5">
        <v>-4283.3900000000003</v>
      </c>
      <c r="H10" s="5">
        <v>-135</v>
      </c>
      <c r="I10" s="5">
        <v>-281.24</v>
      </c>
      <c r="J10" s="5">
        <v>0</v>
      </c>
      <c r="K10" s="5">
        <v>0</v>
      </c>
      <c r="L10" s="5">
        <v>731.15</v>
      </c>
      <c r="M10" s="5">
        <v>687.97</v>
      </c>
      <c r="N10" s="5">
        <v>800.19</v>
      </c>
      <c r="O10" s="5">
        <v>-77.42</v>
      </c>
      <c r="P10" s="27">
        <f t="shared" si="0"/>
        <v>-1799.6400000000008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41.25" customHeight="1" x14ac:dyDescent="0.4">
      <c r="A11" s="4"/>
      <c r="B11" s="4"/>
      <c r="C11" s="28" t="s">
        <v>20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27">
        <f t="shared" si="0"/>
        <v>0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41.25" customHeight="1" x14ac:dyDescent="0.4">
      <c r="A12" s="4"/>
      <c r="B12" s="4"/>
      <c r="C12" s="39" t="s">
        <v>65</v>
      </c>
      <c r="D12" s="6">
        <f>6.65+0.69+3.26-6.5-0.69-3.26</f>
        <v>0.14999999999999991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27">
        <f t="shared" si="0"/>
        <v>0.14999999999999991</v>
      </c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41.25" customHeight="1" x14ac:dyDescent="0.4">
      <c r="A13" s="4"/>
      <c r="B13" s="4"/>
      <c r="C13" s="39" t="s">
        <v>54</v>
      </c>
      <c r="D13" s="5">
        <f>9.74+5.8+20.49+0.15</f>
        <v>36.18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27">
        <f t="shared" si="0"/>
        <v>36.18</v>
      </c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41.25" customHeight="1" x14ac:dyDescent="0.4">
      <c r="A14" s="4"/>
      <c r="B14" s="4"/>
      <c r="C14" s="28" t="s">
        <v>21</v>
      </c>
      <c r="D14" s="6">
        <v>0</v>
      </c>
      <c r="E14" s="5">
        <v>0</v>
      </c>
      <c r="F14" s="7">
        <v>0</v>
      </c>
      <c r="G14" s="6">
        <v>200</v>
      </c>
      <c r="H14" s="6">
        <v>0</v>
      </c>
      <c r="I14" s="6">
        <v>0</v>
      </c>
      <c r="J14" s="7">
        <v>0</v>
      </c>
      <c r="K14" s="6">
        <v>0</v>
      </c>
      <c r="L14" s="6">
        <v>0</v>
      </c>
      <c r="M14" s="6">
        <v>0</v>
      </c>
      <c r="N14" s="6">
        <v>0</v>
      </c>
      <c r="O14" s="6">
        <v>9.52</v>
      </c>
      <c r="P14" s="27">
        <f t="shared" si="0"/>
        <v>209.52</v>
      </c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41.25" customHeight="1" x14ac:dyDescent="0.4">
      <c r="A15" s="4"/>
      <c r="B15" s="4"/>
      <c r="C15" s="39" t="s">
        <v>22</v>
      </c>
      <c r="D15" s="6">
        <v>0</v>
      </c>
      <c r="E15" s="5">
        <v>0</v>
      </c>
      <c r="F15" s="7">
        <v>0</v>
      </c>
      <c r="G15" s="6">
        <v>0</v>
      </c>
      <c r="H15" s="6">
        <v>0</v>
      </c>
      <c r="I15" s="6">
        <v>0</v>
      </c>
      <c r="J15" s="7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27">
        <f t="shared" si="0"/>
        <v>0</v>
      </c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41.25" customHeight="1" x14ac:dyDescent="0.4">
      <c r="A16" s="4"/>
      <c r="B16" s="4"/>
      <c r="C16" s="39" t="s">
        <v>66</v>
      </c>
      <c r="D16" s="5">
        <f>4000+630+300+175+18000</f>
        <v>23105</v>
      </c>
      <c r="E16" s="5">
        <v>130</v>
      </c>
      <c r="F16" s="5">
        <v>170</v>
      </c>
      <c r="G16" s="5">
        <v>1600</v>
      </c>
      <c r="H16" s="5">
        <v>360</v>
      </c>
      <c r="I16" s="7">
        <v>110</v>
      </c>
      <c r="J16" s="7">
        <v>0</v>
      </c>
      <c r="K16" s="5">
        <f>9190.07+510</f>
        <v>9700.07</v>
      </c>
      <c r="L16" s="5">
        <v>50</v>
      </c>
      <c r="M16" s="5">
        <f>456.18+40</f>
        <v>496.18</v>
      </c>
      <c r="N16" s="5">
        <v>280</v>
      </c>
      <c r="O16" s="7">
        <v>30</v>
      </c>
      <c r="P16" s="27">
        <f t="shared" si="0"/>
        <v>36031.25</v>
      </c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41.25" customHeight="1" x14ac:dyDescent="0.4">
      <c r="A17" s="4"/>
      <c r="B17" s="4"/>
      <c r="C17" s="28" t="s">
        <v>23</v>
      </c>
      <c r="D17" s="5">
        <v>0</v>
      </c>
      <c r="E17" s="5">
        <f>2031.27+883.14</f>
        <v>2914.41</v>
      </c>
      <c r="F17" s="5">
        <f>4727.48-1.87</f>
        <v>4725.6099999999997</v>
      </c>
      <c r="G17" s="5">
        <f>2274.72+476.55</f>
        <v>2751.27</v>
      </c>
      <c r="H17" s="5">
        <f>260+2994.66+480.55</f>
        <v>3735.21</v>
      </c>
      <c r="I17" s="7">
        <f>469.14+441.73</f>
        <v>910.87</v>
      </c>
      <c r="J17" s="7">
        <v>507.29</v>
      </c>
      <c r="K17" s="5">
        <v>0</v>
      </c>
      <c r="L17" s="5">
        <v>0</v>
      </c>
      <c r="M17" s="5">
        <v>0</v>
      </c>
      <c r="N17" s="5">
        <v>0</v>
      </c>
      <c r="O17" s="7">
        <v>1884.73</v>
      </c>
      <c r="P17" s="27">
        <f t="shared" si="0"/>
        <v>17429.390000000003</v>
      </c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41.25" customHeight="1" x14ac:dyDescent="0.4">
      <c r="A18" s="4"/>
      <c r="B18" s="4"/>
      <c r="C18" s="29" t="s">
        <v>50</v>
      </c>
      <c r="D18" s="6">
        <v>0</v>
      </c>
      <c r="E18" s="5">
        <f>-4467.12-688.07</f>
        <v>-5155.1899999999996</v>
      </c>
      <c r="F18" s="5">
        <v>-2697.79</v>
      </c>
      <c r="G18" s="5">
        <v>0</v>
      </c>
      <c r="H18" s="6">
        <v>0</v>
      </c>
      <c r="I18" s="7">
        <v>0</v>
      </c>
      <c r="J18" s="7">
        <v>-178.92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27">
        <f t="shared" si="0"/>
        <v>-8031.9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41.25" customHeight="1" x14ac:dyDescent="0.4">
      <c r="A19" s="4"/>
      <c r="B19" s="4"/>
      <c r="C19" s="30" t="s">
        <v>24</v>
      </c>
      <c r="D19" s="7">
        <v>0</v>
      </c>
      <c r="E19" s="5">
        <v>-489.91</v>
      </c>
      <c r="F19" s="5">
        <v>1687.81</v>
      </c>
      <c r="G19" s="5">
        <v>160.41999999999999</v>
      </c>
      <c r="H19" s="5">
        <v>0</v>
      </c>
      <c r="I19" s="5">
        <v>-158.88999999999999</v>
      </c>
      <c r="J19" s="6">
        <v>-16.5</v>
      </c>
      <c r="K19" s="6">
        <v>0</v>
      </c>
      <c r="L19" s="5">
        <v>24.68</v>
      </c>
      <c r="M19" s="7">
        <v>0</v>
      </c>
      <c r="N19" s="6">
        <v>0</v>
      </c>
      <c r="O19" s="7">
        <v>-0.01</v>
      </c>
      <c r="P19" s="27">
        <f t="shared" si="0"/>
        <v>1207.5999999999999</v>
      </c>
      <c r="Q19" s="4"/>
      <c r="R19" s="41"/>
      <c r="S19" s="4"/>
      <c r="T19" s="4"/>
      <c r="U19" s="4"/>
      <c r="V19" s="4"/>
      <c r="W19" s="4"/>
      <c r="X19" s="4"/>
      <c r="Y19" s="4"/>
      <c r="Z19" s="4"/>
    </row>
    <row r="20" spans="1:26" ht="59.25" customHeight="1" x14ac:dyDescent="0.2">
      <c r="A20" s="1"/>
      <c r="B20" s="1"/>
      <c r="C20" s="31" t="s">
        <v>25</v>
      </c>
      <c r="D20" s="8">
        <f t="shared" ref="D20:P20" si="1">SUM(D8:D19)</f>
        <v>23141.33</v>
      </c>
      <c r="E20" s="8">
        <f t="shared" si="1"/>
        <v>3037.4000000000005</v>
      </c>
      <c r="F20" s="8">
        <f t="shared" si="1"/>
        <v>17306.579999999998</v>
      </c>
      <c r="G20" s="8">
        <f t="shared" si="1"/>
        <v>11995.72</v>
      </c>
      <c r="H20" s="8">
        <f t="shared" si="1"/>
        <v>15185.61</v>
      </c>
      <c r="I20" s="8">
        <f t="shared" si="1"/>
        <v>5861.29</v>
      </c>
      <c r="J20" s="8">
        <f t="shared" si="1"/>
        <v>1911.81</v>
      </c>
      <c r="K20" s="8">
        <f t="shared" si="1"/>
        <v>13531.63</v>
      </c>
      <c r="L20" s="8">
        <f t="shared" si="1"/>
        <v>3977.5</v>
      </c>
      <c r="M20" s="8">
        <f t="shared" si="1"/>
        <v>2284.89</v>
      </c>
      <c r="N20" s="8">
        <f t="shared" si="1"/>
        <v>800.19</v>
      </c>
      <c r="O20" s="8">
        <f>SUM(O8:O19)</f>
        <v>2746.95</v>
      </c>
      <c r="P20" s="8">
        <f t="shared" si="1"/>
        <v>101780.90000000001</v>
      </c>
      <c r="Q20" s="1"/>
      <c r="R20" s="32"/>
      <c r="S20" s="1"/>
      <c r="T20" s="1"/>
      <c r="U20" s="1"/>
      <c r="V20" s="1"/>
      <c r="W20" s="1"/>
      <c r="X20" s="1"/>
      <c r="Y20" s="1"/>
      <c r="Z20" s="1"/>
    </row>
    <row r="21" spans="1:26" ht="30" customHeight="1" x14ac:dyDescent="0.2">
      <c r="C21" s="53" t="s">
        <v>26</v>
      </c>
      <c r="D21" s="60" t="s">
        <v>2</v>
      </c>
      <c r="E21" s="6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</row>
    <row r="22" spans="1:26" ht="75.75" customHeight="1" x14ac:dyDescent="0.2">
      <c r="C22" s="54"/>
      <c r="D22" s="54"/>
      <c r="E22" s="21" t="s">
        <v>5</v>
      </c>
      <c r="F22" s="3" t="s">
        <v>6</v>
      </c>
      <c r="G22" s="3" t="s">
        <v>7</v>
      </c>
      <c r="H22" s="3" t="s">
        <v>8</v>
      </c>
      <c r="I22" s="3" t="s">
        <v>9</v>
      </c>
      <c r="J22" s="21" t="s">
        <v>70</v>
      </c>
      <c r="K22" s="3" t="s">
        <v>11</v>
      </c>
      <c r="L22" s="3" t="s">
        <v>12</v>
      </c>
      <c r="M22" s="3" t="s">
        <v>13</v>
      </c>
      <c r="N22" s="3" t="s">
        <v>14</v>
      </c>
      <c r="O22" s="3" t="s">
        <v>15</v>
      </c>
      <c r="P22" s="16" t="s">
        <v>4</v>
      </c>
    </row>
    <row r="23" spans="1:26" ht="41.25" customHeight="1" x14ac:dyDescent="0.2">
      <c r="A23" s="9"/>
      <c r="B23" s="9"/>
      <c r="C23" s="33" t="s">
        <v>27</v>
      </c>
      <c r="D23" s="22">
        <f>(550.5+60+2231.5+306+869+231.75+337.8+562.69+429.5+390+135.5+169.18+345.6+369.17+711.4+513.5+793.6+929.1)+(495+1728+880)</f>
        <v>13038.79</v>
      </c>
      <c r="E23" s="5">
        <v>2441.4</v>
      </c>
      <c r="F23" s="7">
        <f>3951+5488.72</f>
        <v>9439.7200000000012</v>
      </c>
      <c r="G23" s="5">
        <f>1193.5+140</f>
        <v>1333.5</v>
      </c>
      <c r="H23" s="6">
        <f>1317.5+669.65</f>
        <v>1987.15</v>
      </c>
      <c r="I23" s="7">
        <v>5084.29</v>
      </c>
      <c r="J23" s="5">
        <v>553.04</v>
      </c>
      <c r="K23" s="6">
        <v>0</v>
      </c>
      <c r="L23" s="5">
        <f>1448.5+560</f>
        <v>2008.5</v>
      </c>
      <c r="M23" s="6">
        <v>0</v>
      </c>
      <c r="N23" s="5">
        <v>0</v>
      </c>
      <c r="O23" s="6">
        <v>0</v>
      </c>
      <c r="P23" s="34">
        <f t="shared" ref="P23:P34" si="2">SUM(D23:O23)</f>
        <v>35886.390000000007</v>
      </c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41.25" customHeight="1" x14ac:dyDescent="0.2">
      <c r="A24" s="9"/>
      <c r="B24" s="9"/>
      <c r="C24" s="28" t="s">
        <v>28</v>
      </c>
      <c r="D24" s="36">
        <v>0</v>
      </c>
      <c r="E24" s="5">
        <v>596</v>
      </c>
      <c r="F24" s="5">
        <v>1235</v>
      </c>
      <c r="G24" s="5">
        <v>979</v>
      </c>
      <c r="H24" s="5">
        <v>503.1</v>
      </c>
      <c r="I24" s="5">
        <v>777</v>
      </c>
      <c r="J24" s="5">
        <v>50</v>
      </c>
      <c r="K24" s="5">
        <v>280</v>
      </c>
      <c r="L24" s="5">
        <v>310</v>
      </c>
      <c r="M24" s="5">
        <v>100</v>
      </c>
      <c r="N24" s="5">
        <v>0</v>
      </c>
      <c r="O24" s="5">
        <v>50</v>
      </c>
      <c r="P24" s="34">
        <f t="shared" si="2"/>
        <v>4880.1000000000004</v>
      </c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40.5" customHeight="1" x14ac:dyDescent="0.2">
      <c r="A25" s="9"/>
      <c r="B25" s="9"/>
      <c r="C25" s="28" t="s">
        <v>29</v>
      </c>
      <c r="D25" s="36">
        <v>240</v>
      </c>
      <c r="E25" s="5">
        <v>0</v>
      </c>
      <c r="F25" s="5">
        <v>740</v>
      </c>
      <c r="G25" s="5">
        <v>0</v>
      </c>
      <c r="H25" s="6">
        <v>0</v>
      </c>
      <c r="I25" s="6">
        <v>0</v>
      </c>
      <c r="J25" s="5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34">
        <f t="shared" si="2"/>
        <v>980</v>
      </c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41.25" customHeight="1" x14ac:dyDescent="0.2">
      <c r="A26" s="9"/>
      <c r="B26" s="9"/>
      <c r="C26" s="28" t="s">
        <v>30</v>
      </c>
      <c r="D26" s="23">
        <v>0</v>
      </c>
      <c r="E26" s="5">
        <v>0</v>
      </c>
      <c r="F26" s="6">
        <v>0</v>
      </c>
      <c r="G26" s="5">
        <v>250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4">
        <f t="shared" si="2"/>
        <v>250</v>
      </c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41.25" customHeight="1" x14ac:dyDescent="0.2">
      <c r="A27" s="9"/>
      <c r="B27" s="9"/>
      <c r="C27" s="30" t="s">
        <v>51</v>
      </c>
      <c r="D27" s="22">
        <v>0</v>
      </c>
      <c r="E27" s="6">
        <v>0</v>
      </c>
      <c r="F27" s="7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4">
        <f t="shared" si="2"/>
        <v>0</v>
      </c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41.25" customHeight="1" x14ac:dyDescent="0.2">
      <c r="A28" s="9"/>
      <c r="B28" s="9"/>
      <c r="C28" s="29" t="s">
        <v>48</v>
      </c>
      <c r="D28" s="23">
        <v>0</v>
      </c>
      <c r="E28" s="6">
        <v>0</v>
      </c>
      <c r="F28" s="5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4">
        <f t="shared" si="2"/>
        <v>0</v>
      </c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41.25" customHeight="1" x14ac:dyDescent="0.2">
      <c r="A29" s="9"/>
      <c r="B29" s="9"/>
      <c r="C29" s="28" t="s">
        <v>31</v>
      </c>
      <c r="D29" s="22">
        <f>(3100+160+400+5000+5000)+(5000+3000+18000)</f>
        <v>39660</v>
      </c>
      <c r="E29" s="6">
        <v>0</v>
      </c>
      <c r="F29" s="6">
        <v>0</v>
      </c>
      <c r="G29" s="5">
        <v>9433.2199999999993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2696.95</v>
      </c>
      <c r="P29" s="34">
        <f t="shared" si="2"/>
        <v>51790.17</v>
      </c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41.25" customHeight="1" x14ac:dyDescent="0.2">
      <c r="A30" s="9"/>
      <c r="B30" s="9"/>
      <c r="C30" s="39" t="s">
        <v>32</v>
      </c>
      <c r="D30" s="22">
        <v>39.4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4">
        <f t="shared" si="2"/>
        <v>39.4</v>
      </c>
      <c r="Q30" s="9"/>
      <c r="R30" s="10"/>
      <c r="S30" s="9"/>
      <c r="T30" s="9"/>
      <c r="U30" s="9"/>
      <c r="V30" s="9"/>
      <c r="W30" s="9"/>
      <c r="X30" s="9"/>
      <c r="Y30" s="9"/>
      <c r="Z30" s="9"/>
    </row>
    <row r="31" spans="1:26" ht="41.25" customHeight="1" x14ac:dyDescent="0.2">
      <c r="A31" s="9"/>
      <c r="B31" s="9"/>
      <c r="C31" s="39" t="s">
        <v>55</v>
      </c>
      <c r="D31" s="22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4">
        <f t="shared" si="2"/>
        <v>0</v>
      </c>
      <c r="Q31" s="9"/>
      <c r="R31" s="10"/>
      <c r="S31" s="9"/>
      <c r="T31" s="9"/>
      <c r="U31" s="9"/>
      <c r="V31" s="9"/>
      <c r="W31" s="9"/>
      <c r="X31" s="9"/>
      <c r="Y31" s="9"/>
      <c r="Z31" s="9"/>
    </row>
    <row r="32" spans="1:26" ht="41.25" customHeight="1" x14ac:dyDescent="0.2">
      <c r="A32" s="9"/>
      <c r="B32" s="9"/>
      <c r="C32" s="39" t="s">
        <v>33</v>
      </c>
      <c r="D32" s="22">
        <v>2.86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4">
        <f t="shared" si="2"/>
        <v>2.86</v>
      </c>
      <c r="Q32" s="9"/>
      <c r="R32" s="10"/>
      <c r="S32" s="9"/>
      <c r="T32" s="9"/>
      <c r="U32" s="9"/>
      <c r="V32" s="9"/>
      <c r="W32" s="9"/>
      <c r="X32" s="9"/>
      <c r="Y32" s="9"/>
      <c r="Z32" s="9"/>
    </row>
    <row r="33" spans="1:26" ht="41.25" customHeight="1" x14ac:dyDescent="0.2">
      <c r="A33" s="9"/>
      <c r="B33" s="9"/>
      <c r="C33" s="30" t="s">
        <v>49</v>
      </c>
      <c r="D33" s="22">
        <v>0</v>
      </c>
      <c r="E33" s="6">
        <v>0</v>
      </c>
      <c r="F33" s="6">
        <v>0</v>
      </c>
      <c r="G33" s="5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4">
        <f t="shared" si="2"/>
        <v>0</v>
      </c>
      <c r="Q33" s="9"/>
      <c r="R33" s="10"/>
      <c r="S33" s="9"/>
      <c r="T33" s="9"/>
      <c r="U33" s="9"/>
      <c r="V33" s="9"/>
      <c r="W33" s="9"/>
      <c r="X33" s="9"/>
      <c r="Y33" s="9"/>
      <c r="Z33" s="9"/>
    </row>
    <row r="34" spans="1:26" ht="41.25" customHeight="1" x14ac:dyDescent="0.2">
      <c r="A34" s="9"/>
      <c r="B34" s="9"/>
      <c r="C34" s="11" t="s">
        <v>34</v>
      </c>
      <c r="D34" s="23">
        <v>0</v>
      </c>
      <c r="E34" s="5">
        <v>0</v>
      </c>
      <c r="F34" s="7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4">
        <f t="shared" si="2"/>
        <v>0</v>
      </c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60.75" customHeight="1" x14ac:dyDescent="0.2">
      <c r="A35" s="12"/>
      <c r="B35" s="12"/>
      <c r="C35" s="31" t="s">
        <v>35</v>
      </c>
      <c r="D35" s="13">
        <f t="shared" ref="D35:P35" si="3">SUM(D23:D34)</f>
        <v>52981.05</v>
      </c>
      <c r="E35" s="13">
        <f t="shared" si="3"/>
        <v>3037.4</v>
      </c>
      <c r="F35" s="13">
        <f t="shared" si="3"/>
        <v>11414.720000000001</v>
      </c>
      <c r="G35" s="13">
        <f t="shared" si="3"/>
        <v>11995.72</v>
      </c>
      <c r="H35" s="13">
        <f t="shared" si="3"/>
        <v>2490.25</v>
      </c>
      <c r="I35" s="13">
        <f t="shared" si="3"/>
        <v>5861.29</v>
      </c>
      <c r="J35" s="13">
        <f t="shared" si="3"/>
        <v>603.04</v>
      </c>
      <c r="K35" s="13">
        <f t="shared" si="3"/>
        <v>280</v>
      </c>
      <c r="L35" s="13">
        <f t="shared" si="3"/>
        <v>2318.5</v>
      </c>
      <c r="M35" s="13">
        <f t="shared" si="3"/>
        <v>100</v>
      </c>
      <c r="N35" s="13">
        <f t="shared" si="3"/>
        <v>0</v>
      </c>
      <c r="O35" s="13">
        <f t="shared" si="3"/>
        <v>2746.95</v>
      </c>
      <c r="P35" s="13">
        <f t="shared" si="3"/>
        <v>93828.92</v>
      </c>
      <c r="Q35" s="12"/>
      <c r="R35" s="14"/>
      <c r="S35" s="12"/>
      <c r="T35" s="12"/>
      <c r="U35" s="12"/>
      <c r="V35" s="12"/>
      <c r="W35" s="12"/>
      <c r="X35" s="12"/>
      <c r="Y35" s="12"/>
      <c r="Z35" s="12"/>
    </row>
    <row r="36" spans="1:26" ht="59.25" customHeight="1" x14ac:dyDescent="0.2">
      <c r="A36" s="1"/>
      <c r="B36" s="1"/>
      <c r="C36" s="38" t="s">
        <v>36</v>
      </c>
      <c r="D36" s="15"/>
      <c r="E36" s="15">
        <f t="shared" ref="E36:O36" si="4">E20-E35</f>
        <v>0</v>
      </c>
      <c r="F36" s="15">
        <f t="shared" si="4"/>
        <v>5891.8599999999969</v>
      </c>
      <c r="G36" s="15">
        <f t="shared" si="4"/>
        <v>0</v>
      </c>
      <c r="H36" s="15">
        <f t="shared" si="4"/>
        <v>12695.36</v>
      </c>
      <c r="I36" s="15">
        <f t="shared" si="4"/>
        <v>0</v>
      </c>
      <c r="J36" s="15">
        <f t="shared" si="4"/>
        <v>1308.77</v>
      </c>
      <c r="K36" s="15">
        <f t="shared" si="4"/>
        <v>13251.63</v>
      </c>
      <c r="L36" s="15">
        <f t="shared" si="4"/>
        <v>1659</v>
      </c>
      <c r="M36" s="15">
        <f t="shared" si="4"/>
        <v>2184.89</v>
      </c>
      <c r="N36" s="15">
        <f t="shared" si="4"/>
        <v>800.19</v>
      </c>
      <c r="O36" s="15">
        <f t="shared" si="4"/>
        <v>0</v>
      </c>
      <c r="P36" s="15">
        <f>SUM(E36:O36)</f>
        <v>37791.699999999997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4.25" customHeight="1" x14ac:dyDescent="0.2">
      <c r="A37" s="1"/>
      <c r="B37" s="1"/>
      <c r="C37" s="35" t="s">
        <v>52</v>
      </c>
      <c r="D37" s="17"/>
      <c r="E37" s="17">
        <v>0</v>
      </c>
      <c r="F37" s="17">
        <f>(1940.54+47.98+379.9)+(3125.48+397.96)</f>
        <v>5891.8600000000006</v>
      </c>
      <c r="G37" s="25">
        <v>0</v>
      </c>
      <c r="H37" s="24">
        <f>(2903.27+840)+(3752.04+4808.68+391.37)</f>
        <v>12695.360000000002</v>
      </c>
      <c r="I37" s="24">
        <v>0</v>
      </c>
      <c r="J37" s="25">
        <f>(890.31+201.48+216.98)</f>
        <v>1308.77</v>
      </c>
      <c r="K37" s="25">
        <f>(4061.56+9190.07)</f>
        <v>13251.63</v>
      </c>
      <c r="L37" s="25">
        <v>1659</v>
      </c>
      <c r="M37" s="24">
        <f>(456.18)+(1728.71)</f>
        <v>2184.89</v>
      </c>
      <c r="N37" s="24">
        <f>(800.19)</f>
        <v>800.19</v>
      </c>
      <c r="O37" s="25">
        <v>0</v>
      </c>
      <c r="P37" s="17">
        <f>SUM(E37:O37)</f>
        <v>37791.700000000004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0.5" customHeight="1" x14ac:dyDescent="0.45"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26" ht="12.75" customHeight="1" x14ac:dyDescent="0.2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26" ht="12.75" customHeight="1" x14ac:dyDescent="0.2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26" ht="13.5" customHeight="1" thickBot="1" x14ac:dyDescent="0.25"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26" ht="45" customHeight="1" x14ac:dyDescent="0.2">
      <c r="C42" s="62" t="s">
        <v>37</v>
      </c>
      <c r="D42" s="63"/>
      <c r="E42" s="63"/>
      <c r="F42" s="63"/>
      <c r="G42" s="63"/>
      <c r="H42" s="63"/>
      <c r="I42" s="63"/>
      <c r="J42" s="64"/>
      <c r="K42" s="19"/>
      <c r="L42" s="19"/>
      <c r="M42" s="19"/>
    </row>
    <row r="43" spans="1:26" ht="34.5" customHeight="1" x14ac:dyDescent="0.2">
      <c r="C43" s="65" t="s">
        <v>38</v>
      </c>
      <c r="D43" s="52"/>
      <c r="E43" s="66">
        <v>0.03</v>
      </c>
      <c r="F43" s="52"/>
      <c r="G43" s="66">
        <v>0.02</v>
      </c>
      <c r="H43" s="52"/>
      <c r="I43" s="59" t="s">
        <v>4</v>
      </c>
      <c r="J43" s="67"/>
      <c r="K43" s="19"/>
      <c r="L43" s="19"/>
      <c r="M43" s="19"/>
    </row>
    <row r="44" spans="1:26" ht="36" customHeight="1" thickBot="1" x14ac:dyDescent="0.25">
      <c r="C44" s="68" t="s">
        <v>39</v>
      </c>
      <c r="D44" s="69"/>
      <c r="E44" s="70">
        <f>P9*0.03</f>
        <v>1476.8505</v>
      </c>
      <c r="F44" s="69"/>
      <c r="G44" s="70">
        <f>P9*0.02</f>
        <v>984.56700000000001</v>
      </c>
      <c r="H44" s="69"/>
      <c r="I44" s="71">
        <f>SUM(E44:H44)</f>
        <v>2461.4175</v>
      </c>
      <c r="J44" s="72"/>
      <c r="K44" s="19"/>
      <c r="L44" s="19"/>
      <c r="M44" s="19"/>
    </row>
    <row r="45" spans="1:26" ht="12.75" customHeight="1" x14ac:dyDescent="0.2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26" ht="12.75" customHeight="1" x14ac:dyDescent="0.2"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26" ht="12.75" customHeight="1" x14ac:dyDescent="0.2"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26" ht="12.75" customHeight="1" x14ac:dyDescent="0.2"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3:17" ht="12.75" customHeight="1" x14ac:dyDescent="0.2"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3:17" ht="12.75" customHeight="1" x14ac:dyDescent="0.2"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3:17" ht="12.75" customHeight="1" x14ac:dyDescent="0.2"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3:17" ht="13.5" customHeight="1" thickBot="1" x14ac:dyDescent="0.25"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3:17" ht="59.25" customHeight="1" x14ac:dyDescent="0.2">
      <c r="C53" s="62" t="s">
        <v>40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4"/>
      <c r="O53" s="19"/>
    </row>
    <row r="54" spans="3:17" ht="59.25" customHeight="1" x14ac:dyDescent="0.2">
      <c r="C54" s="79" t="s">
        <v>41</v>
      </c>
      <c r="D54" s="46"/>
      <c r="E54" s="56" t="s">
        <v>42</v>
      </c>
      <c r="F54" s="46"/>
      <c r="G54" s="81" t="s">
        <v>43</v>
      </c>
      <c r="H54" s="51"/>
      <c r="I54" s="51"/>
      <c r="J54" s="51"/>
      <c r="K54" s="51"/>
      <c r="L54" s="52"/>
      <c r="M54" s="56" t="s">
        <v>44</v>
      </c>
      <c r="N54" s="57"/>
      <c r="O54" s="19"/>
    </row>
    <row r="55" spans="3:17" ht="41.25" customHeight="1" x14ac:dyDescent="0.2">
      <c r="C55" s="80"/>
      <c r="D55" s="49"/>
      <c r="E55" s="47"/>
      <c r="F55" s="49"/>
      <c r="G55" s="59" t="s">
        <v>45</v>
      </c>
      <c r="H55" s="52"/>
      <c r="I55" s="59" t="s">
        <v>46</v>
      </c>
      <c r="J55" s="52"/>
      <c r="K55" s="59" t="s">
        <v>36</v>
      </c>
      <c r="L55" s="52"/>
      <c r="M55" s="47"/>
      <c r="N55" s="58"/>
      <c r="O55" s="19"/>
      <c r="P55" s="19"/>
      <c r="Q55" s="19"/>
    </row>
    <row r="56" spans="3:17" ht="41.25" customHeight="1" x14ac:dyDescent="0.2">
      <c r="C56" s="73" t="s">
        <v>47</v>
      </c>
      <c r="D56" s="52"/>
      <c r="E56" s="74">
        <v>130.5</v>
      </c>
      <c r="F56" s="52"/>
      <c r="G56" s="75">
        <v>26869.06</v>
      </c>
      <c r="H56" s="52"/>
      <c r="I56" s="76">
        <v>-23888.5</v>
      </c>
      <c r="J56" s="52"/>
      <c r="K56" s="77">
        <f t="shared" ref="K56:K57" si="5">G56+I56</f>
        <v>2980.5600000000013</v>
      </c>
      <c r="L56" s="78"/>
      <c r="M56" s="82">
        <f>E56+K56</f>
        <v>3111.0600000000013</v>
      </c>
      <c r="N56" s="67"/>
      <c r="O56" s="19"/>
      <c r="P56" s="19"/>
      <c r="Q56" s="19"/>
    </row>
    <row r="57" spans="3:17" ht="41.25" customHeight="1" x14ac:dyDescent="0.2">
      <c r="C57" s="73" t="s">
        <v>53</v>
      </c>
      <c r="D57" s="52"/>
      <c r="E57" s="74">
        <v>32308.38</v>
      </c>
      <c r="F57" s="52"/>
      <c r="G57" s="75">
        <v>34074.42</v>
      </c>
      <c r="H57" s="52"/>
      <c r="I57" s="76">
        <v>-31243.5</v>
      </c>
      <c r="J57" s="52"/>
      <c r="K57" s="83">
        <f t="shared" si="5"/>
        <v>2830.9199999999983</v>
      </c>
      <c r="L57" s="52"/>
      <c r="M57" s="82">
        <f t="shared" ref="M57:M58" si="6">E57+K57</f>
        <v>35139.300000000003</v>
      </c>
      <c r="N57" s="67"/>
      <c r="O57" s="19"/>
      <c r="P57" s="20"/>
      <c r="Q57" s="19"/>
    </row>
    <row r="58" spans="3:17" ht="60.75" customHeight="1" thickBot="1" x14ac:dyDescent="0.25">
      <c r="C58" s="68" t="s">
        <v>4</v>
      </c>
      <c r="D58" s="69"/>
      <c r="E58" s="70">
        <f>SUM(E56:F57)</f>
        <v>32438.880000000001</v>
      </c>
      <c r="F58" s="69"/>
      <c r="G58" s="70">
        <f>SUM(G56:H57)</f>
        <v>60943.479999999996</v>
      </c>
      <c r="H58" s="69"/>
      <c r="I58" s="84">
        <f>SUM(I56:J57)</f>
        <v>-55132</v>
      </c>
      <c r="J58" s="69"/>
      <c r="K58" s="71">
        <f>SUM(K56:L57)</f>
        <v>5811.48</v>
      </c>
      <c r="L58" s="85"/>
      <c r="M58" s="70">
        <f t="shared" si="6"/>
        <v>38250.36</v>
      </c>
      <c r="N58" s="72"/>
      <c r="O58" s="19"/>
      <c r="P58" s="19"/>
      <c r="Q58" s="19"/>
    </row>
    <row r="59" spans="3:17" ht="12.75" customHeight="1" x14ac:dyDescent="0.2"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3:17" ht="12.75" customHeight="1" x14ac:dyDescent="0.2"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3:17" ht="12.75" customHeight="1" x14ac:dyDescent="0.2"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3:17" ht="12.75" customHeight="1" x14ac:dyDescent="0.2"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3:17" ht="12.75" customHeight="1" x14ac:dyDescent="0.2"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3:17" ht="12.75" customHeight="1" x14ac:dyDescent="0.2"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4:15" ht="12.75" customHeight="1" x14ac:dyDescent="0.2"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4:15" ht="12.75" customHeight="1" x14ac:dyDescent="0.2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4:15" ht="12.75" customHeight="1" x14ac:dyDescent="0.2"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4:15" ht="12.75" customHeight="1" x14ac:dyDescent="0.2"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4:15" ht="12.75" customHeight="1" x14ac:dyDescent="0.2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4:15" ht="12.75" customHeight="1" x14ac:dyDescent="0.2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4:15" ht="12.75" customHeight="1" x14ac:dyDescent="0.2"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4:15" ht="12.75" customHeight="1" x14ac:dyDescent="0.2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4:15" ht="12.75" customHeight="1" x14ac:dyDescent="0.2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4:15" ht="12.75" customHeight="1" x14ac:dyDescent="0.2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4:15" ht="12.75" customHeight="1" x14ac:dyDescent="0.2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4:15" ht="12.75" customHeight="1" x14ac:dyDescent="0.2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4:15" ht="12.75" customHeight="1" x14ac:dyDescent="0.2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4:15" ht="12.75" customHeight="1" x14ac:dyDescent="0.2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4:15" ht="12.75" customHeight="1" x14ac:dyDescent="0.2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4:15" ht="12.75" customHeight="1" x14ac:dyDescent="0.2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4:15" ht="12.75" customHeight="1" x14ac:dyDescent="0.2"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4:15" ht="12.75" customHeight="1" x14ac:dyDescent="0.2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4:15" ht="12.75" customHeight="1" x14ac:dyDescent="0.2"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4:15" ht="12.75" customHeight="1" x14ac:dyDescent="0.2"/>
    <row r="85" spans="4:15" ht="12.75" customHeight="1" x14ac:dyDescent="0.2"/>
    <row r="86" spans="4:15" ht="12.75" customHeight="1" x14ac:dyDescent="0.2"/>
    <row r="87" spans="4:15" ht="12.75" customHeight="1" x14ac:dyDescent="0.2"/>
    <row r="88" spans="4:15" ht="12.75" customHeight="1" x14ac:dyDescent="0.2"/>
    <row r="89" spans="4:15" ht="12.75" customHeight="1" x14ac:dyDescent="0.2"/>
    <row r="90" spans="4:15" ht="12.75" customHeight="1" x14ac:dyDescent="0.2"/>
    <row r="91" spans="4:15" ht="12.75" customHeight="1" x14ac:dyDescent="0.2"/>
    <row r="92" spans="4:15" ht="12.75" customHeight="1" x14ac:dyDescent="0.2"/>
    <row r="93" spans="4:15" ht="12.75" customHeight="1" x14ac:dyDescent="0.2"/>
    <row r="94" spans="4:15" ht="12.75" customHeight="1" x14ac:dyDescent="0.2"/>
    <row r="95" spans="4:15" ht="12.75" customHeight="1" x14ac:dyDescent="0.2"/>
    <row r="96" spans="4:15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44">
    <mergeCell ref="M58:N58"/>
    <mergeCell ref="M56:N56"/>
    <mergeCell ref="C57:D57"/>
    <mergeCell ref="E57:F57"/>
    <mergeCell ref="G57:H57"/>
    <mergeCell ref="I57:J57"/>
    <mergeCell ref="K57:L57"/>
    <mergeCell ref="M57:N57"/>
    <mergeCell ref="C58:D58"/>
    <mergeCell ref="E58:F58"/>
    <mergeCell ref="G58:H58"/>
    <mergeCell ref="I58:J58"/>
    <mergeCell ref="K58:L58"/>
    <mergeCell ref="K55:L55"/>
    <mergeCell ref="C56:D56"/>
    <mergeCell ref="E56:F56"/>
    <mergeCell ref="G56:H56"/>
    <mergeCell ref="I56:J56"/>
    <mergeCell ref="K56:L56"/>
    <mergeCell ref="C54:D55"/>
    <mergeCell ref="E54:F55"/>
    <mergeCell ref="G54:L54"/>
    <mergeCell ref="M54:N55"/>
    <mergeCell ref="G55:H55"/>
    <mergeCell ref="C21:C22"/>
    <mergeCell ref="D21:D22"/>
    <mergeCell ref="E21:P21"/>
    <mergeCell ref="C42:J42"/>
    <mergeCell ref="C43:D43"/>
    <mergeCell ref="E43:F43"/>
    <mergeCell ref="G43:H43"/>
    <mergeCell ref="I43:J43"/>
    <mergeCell ref="C44:D44"/>
    <mergeCell ref="E44:F44"/>
    <mergeCell ref="G44:H44"/>
    <mergeCell ref="I44:J44"/>
    <mergeCell ref="C53:N53"/>
    <mergeCell ref="I55:J55"/>
    <mergeCell ref="C3:P4"/>
    <mergeCell ref="D5:P5"/>
    <mergeCell ref="C6:C7"/>
    <mergeCell ref="D6:D7"/>
    <mergeCell ref="E6:O6"/>
    <mergeCell ref="P6:P7"/>
  </mergeCell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96056-CC02-470D-A944-DFAACC9D2265}">
  <dimension ref="A1:AA1001"/>
  <sheetViews>
    <sheetView showGridLines="0" tabSelected="1" topLeftCell="E16" zoomScale="39" zoomScaleNormal="39" workbookViewId="0">
      <selection activeCell="D28" sqref="D28"/>
    </sheetView>
  </sheetViews>
  <sheetFormatPr defaultColWidth="14.42578125" defaultRowHeight="15" customHeight="1" x14ac:dyDescent="0.2"/>
  <cols>
    <col min="1" max="2" width="8" customWidth="1"/>
    <col min="3" max="3" width="138.28515625" customWidth="1"/>
    <col min="4" max="17" width="29.7109375" customWidth="1"/>
    <col min="18" max="18" width="8" customWidth="1"/>
    <col min="19" max="19" width="25.85546875" customWidth="1"/>
    <col min="20" max="27" width="8" customWidth="1"/>
  </cols>
  <sheetData>
    <row r="1" spans="1:27" ht="83.25" customHeight="1" x14ac:dyDescent="0.2"/>
    <row r="2" spans="1:27" ht="13.5" customHeight="1" x14ac:dyDescent="0.2"/>
    <row r="3" spans="1:27" ht="37.5" customHeight="1" x14ac:dyDescent="0.2">
      <c r="C3" s="44" t="s">
        <v>0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</row>
    <row r="4" spans="1:27" ht="37.5" customHeight="1" x14ac:dyDescent="0.2"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9"/>
    </row>
    <row r="5" spans="1:27" ht="69.75" customHeight="1" x14ac:dyDescent="0.2">
      <c r="A5" s="1"/>
      <c r="B5" s="1"/>
      <c r="C5" s="26"/>
      <c r="D5" s="86" t="s">
        <v>64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48" customHeight="1" x14ac:dyDescent="0.2">
      <c r="C6" s="53" t="s">
        <v>1</v>
      </c>
      <c r="D6" s="53" t="s">
        <v>2</v>
      </c>
      <c r="E6" s="55" t="s">
        <v>3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2"/>
      <c r="Q6" s="53" t="s">
        <v>4</v>
      </c>
    </row>
    <row r="7" spans="1:27" ht="60.75" customHeight="1" x14ac:dyDescent="0.2">
      <c r="A7" s="2"/>
      <c r="B7" s="2"/>
      <c r="C7" s="54"/>
      <c r="D7" s="54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70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73</v>
      </c>
      <c r="P7" s="3" t="s">
        <v>15</v>
      </c>
      <c r="Q7" s="54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41.25" customHeight="1" x14ac:dyDescent="0.4">
      <c r="A8" s="4"/>
      <c r="B8" s="4"/>
      <c r="C8" s="28" t="s">
        <v>16</v>
      </c>
      <c r="D8" s="6">
        <v>0</v>
      </c>
      <c r="E8" s="5">
        <v>1060</v>
      </c>
      <c r="F8" s="5">
        <v>1670</v>
      </c>
      <c r="G8" s="5">
        <v>1200</v>
      </c>
      <c r="H8" s="5">
        <v>1170</v>
      </c>
      <c r="I8" s="5">
        <v>690</v>
      </c>
      <c r="J8" s="5">
        <v>20</v>
      </c>
      <c r="K8" s="5">
        <v>540</v>
      </c>
      <c r="L8" s="5">
        <v>520</v>
      </c>
      <c r="M8" s="5">
        <v>225</v>
      </c>
      <c r="N8" s="5">
        <v>280</v>
      </c>
      <c r="O8" s="5">
        <v>360</v>
      </c>
      <c r="P8" s="5">
        <v>126.54</v>
      </c>
      <c r="Q8" s="27">
        <f t="shared" ref="Q8:Q19" si="0">SUM(D8:P8)</f>
        <v>7861.54</v>
      </c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41.25" customHeight="1" x14ac:dyDescent="0.4">
      <c r="A9" s="4"/>
      <c r="B9" s="4"/>
      <c r="C9" s="28" t="s">
        <v>17</v>
      </c>
      <c r="D9" s="6">
        <v>0</v>
      </c>
      <c r="E9" s="5">
        <v>4922.6099999999997</v>
      </c>
      <c r="F9" s="5">
        <v>18548.72</v>
      </c>
      <c r="G9" s="5">
        <v>13084.8</v>
      </c>
      <c r="H9" s="5">
        <v>8249.57</v>
      </c>
      <c r="I9" s="5">
        <v>6202.88</v>
      </c>
      <c r="J9" s="5">
        <v>5294.5</v>
      </c>
      <c r="K9" s="5">
        <v>5636.72</v>
      </c>
      <c r="L9" s="5">
        <v>4625.88</v>
      </c>
      <c r="M9" s="5">
        <v>2026.79</v>
      </c>
      <c r="N9" s="5">
        <v>0</v>
      </c>
      <c r="O9" s="5">
        <v>2069.0700000000002</v>
      </c>
      <c r="P9" s="5">
        <v>1265.44</v>
      </c>
      <c r="Q9" s="27">
        <f t="shared" si="0"/>
        <v>71926.98000000001</v>
      </c>
      <c r="R9" s="4" t="s">
        <v>18</v>
      </c>
      <c r="S9" s="4"/>
      <c r="T9" s="4"/>
      <c r="U9" s="4"/>
      <c r="V9" s="4"/>
      <c r="W9" s="4"/>
      <c r="X9" s="4"/>
      <c r="Y9" s="4"/>
      <c r="Z9" s="4"/>
      <c r="AA9" s="4"/>
    </row>
    <row r="10" spans="1:27" ht="41.25" customHeight="1" x14ac:dyDescent="0.4">
      <c r="A10" s="4"/>
      <c r="B10" s="4"/>
      <c r="C10" s="28" t="s">
        <v>19</v>
      </c>
      <c r="D10" s="6">
        <v>0</v>
      </c>
      <c r="E10" s="5">
        <v>-3908.19</v>
      </c>
      <c r="F10" s="5">
        <v>-734.65</v>
      </c>
      <c r="G10" s="5">
        <v>-875.34</v>
      </c>
      <c r="H10" s="5">
        <v>-2090.2800000000002</v>
      </c>
      <c r="I10" s="5">
        <v>-4728.5200000000004</v>
      </c>
      <c r="J10" s="5">
        <v>0.08</v>
      </c>
      <c r="K10" s="5">
        <v>0</v>
      </c>
      <c r="L10" s="5">
        <v>0</v>
      </c>
      <c r="M10" s="5">
        <v>0</v>
      </c>
      <c r="N10" s="5">
        <v>0</v>
      </c>
      <c r="O10" s="5">
        <v>-60</v>
      </c>
      <c r="P10" s="5">
        <v>42.96</v>
      </c>
      <c r="Q10" s="27">
        <f t="shared" si="0"/>
        <v>-12353.940000000002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41.25" customHeight="1" x14ac:dyDescent="0.4">
      <c r="A11" s="4"/>
      <c r="B11" s="4"/>
      <c r="C11" s="28" t="s">
        <v>20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27">
        <f t="shared" si="0"/>
        <v>0</v>
      </c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41.25" customHeight="1" x14ac:dyDescent="0.4">
      <c r="A12" s="4"/>
      <c r="B12" s="4"/>
      <c r="C12" s="39" t="s">
        <v>65</v>
      </c>
      <c r="D12" s="6">
        <f>2.08+0.25-0.25-1.67</f>
        <v>0.41000000000000014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27">
        <f t="shared" si="0"/>
        <v>0.41000000000000014</v>
      </c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41.25" customHeight="1" x14ac:dyDescent="0.4">
      <c r="A13" s="4"/>
      <c r="B13" s="4"/>
      <c r="C13" s="39" t="s">
        <v>54</v>
      </c>
      <c r="D13" s="5">
        <f>19.14+20.52+7.38</f>
        <v>47.04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27">
        <f t="shared" si="0"/>
        <v>47.04</v>
      </c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41.25" customHeight="1" x14ac:dyDescent="0.4">
      <c r="A14" s="4"/>
      <c r="B14" s="4"/>
      <c r="C14" s="28" t="s">
        <v>21</v>
      </c>
      <c r="D14" s="6">
        <v>0</v>
      </c>
      <c r="E14" s="5">
        <v>0</v>
      </c>
      <c r="F14" s="7">
        <v>0</v>
      </c>
      <c r="G14" s="6">
        <v>0</v>
      </c>
      <c r="H14" s="6">
        <v>0</v>
      </c>
      <c r="I14" s="6">
        <v>0</v>
      </c>
      <c r="J14" s="7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27">
        <f t="shared" si="0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41.25" customHeight="1" x14ac:dyDescent="0.4">
      <c r="A15" s="4"/>
      <c r="B15" s="4"/>
      <c r="C15" s="39" t="s">
        <v>22</v>
      </c>
      <c r="D15" s="6">
        <v>0</v>
      </c>
      <c r="E15" s="5">
        <v>0</v>
      </c>
      <c r="F15" s="7">
        <v>0</v>
      </c>
      <c r="G15" s="6">
        <v>0</v>
      </c>
      <c r="H15" s="6">
        <v>0</v>
      </c>
      <c r="I15" s="6">
        <v>0</v>
      </c>
      <c r="J15" s="7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27">
        <f t="shared" si="0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41.25" customHeight="1" x14ac:dyDescent="0.4">
      <c r="A16" s="4"/>
      <c r="B16" s="4"/>
      <c r="C16" s="39" t="s">
        <v>66</v>
      </c>
      <c r="D16" s="5">
        <v>233.1</v>
      </c>
      <c r="E16" s="5">
        <v>440</v>
      </c>
      <c r="F16" s="5">
        <v>760</v>
      </c>
      <c r="G16" s="5">
        <v>1450.6</v>
      </c>
      <c r="H16" s="5">
        <v>620</v>
      </c>
      <c r="I16" s="7">
        <v>240</v>
      </c>
      <c r="J16" s="7">
        <v>160</v>
      </c>
      <c r="K16" s="5">
        <v>830</v>
      </c>
      <c r="L16" s="5">
        <v>255</v>
      </c>
      <c r="M16" s="5">
        <v>10</v>
      </c>
      <c r="N16" s="5">
        <v>240</v>
      </c>
      <c r="O16" s="5">
        <v>0</v>
      </c>
      <c r="P16" s="7">
        <v>160</v>
      </c>
      <c r="Q16" s="27">
        <f t="shared" si="0"/>
        <v>5398.7</v>
      </c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41.25" customHeight="1" x14ac:dyDescent="0.4">
      <c r="A17" s="4"/>
      <c r="B17" s="4"/>
      <c r="C17" s="28" t="s">
        <v>23</v>
      </c>
      <c r="D17" s="5">
        <v>0</v>
      </c>
      <c r="E17" s="5">
        <f>3000+3063.44+78.44-464.27</f>
        <v>5677.6100000000006</v>
      </c>
      <c r="F17" s="5">
        <f>-440.61+69.92</f>
        <v>-370.69</v>
      </c>
      <c r="G17" s="5">
        <f>-139.35-34.09-136.5</f>
        <v>-309.94</v>
      </c>
      <c r="H17" s="5">
        <v>2207.0300000000002</v>
      </c>
      <c r="I17" s="7">
        <f>5044.96+81.58-1603.15</f>
        <v>3523.39</v>
      </c>
      <c r="J17" s="7">
        <v>-0.04</v>
      </c>
      <c r="K17" s="5">
        <v>0</v>
      </c>
      <c r="L17" s="5">
        <v>484.96</v>
      </c>
      <c r="M17" s="5">
        <v>0</v>
      </c>
      <c r="N17" s="5">
        <v>590</v>
      </c>
      <c r="O17" s="5">
        <v>0</v>
      </c>
      <c r="P17" s="7">
        <v>57.05</v>
      </c>
      <c r="Q17" s="27">
        <f t="shared" si="0"/>
        <v>11859.369999999999</v>
      </c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41.25" customHeight="1" x14ac:dyDescent="0.4">
      <c r="A18" s="4"/>
      <c r="B18" s="4"/>
      <c r="C18" s="29" t="s">
        <v>50</v>
      </c>
      <c r="D18" s="6">
        <v>0</v>
      </c>
      <c r="E18" s="5">
        <v>0</v>
      </c>
      <c r="F18" s="5">
        <v>0</v>
      </c>
      <c r="G18" s="5">
        <v>-5000</v>
      </c>
      <c r="H18" s="6">
        <v>0</v>
      </c>
      <c r="I18" s="7">
        <v>0</v>
      </c>
      <c r="J18" s="7">
        <f>-920.7</f>
        <v>-920.7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27">
        <f t="shared" si="0"/>
        <v>-5920.7</v>
      </c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41.25" customHeight="1" x14ac:dyDescent="0.4">
      <c r="A19" s="4"/>
      <c r="B19" s="4"/>
      <c r="C19" s="30" t="s">
        <v>24</v>
      </c>
      <c r="D19" s="7">
        <v>0</v>
      </c>
      <c r="E19" s="5">
        <v>-1655.33</v>
      </c>
      <c r="F19" s="5">
        <v>2083.48</v>
      </c>
      <c r="G19" s="5">
        <v>1126.8800000000001</v>
      </c>
      <c r="H19" s="5">
        <v>0</v>
      </c>
      <c r="I19" s="5">
        <v>-42.35</v>
      </c>
      <c r="J19" s="6">
        <v>0</v>
      </c>
      <c r="K19" s="6">
        <v>0</v>
      </c>
      <c r="L19" s="5">
        <v>-573.1</v>
      </c>
      <c r="M19" s="7">
        <v>-15</v>
      </c>
      <c r="N19" s="6">
        <v>-1110</v>
      </c>
      <c r="O19" s="6">
        <v>0</v>
      </c>
      <c r="P19" s="7">
        <v>-0.01</v>
      </c>
      <c r="Q19" s="27">
        <f t="shared" si="0"/>
        <v>-185.42999999999972</v>
      </c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59.25" customHeight="1" x14ac:dyDescent="0.2">
      <c r="A20" s="1"/>
      <c r="B20" s="1"/>
      <c r="C20" s="31" t="s">
        <v>25</v>
      </c>
      <c r="D20" s="8">
        <f t="shared" ref="D20:Q20" si="1">SUM(D8:D19)</f>
        <v>280.55</v>
      </c>
      <c r="E20" s="8">
        <f t="shared" si="1"/>
        <v>6536.7000000000007</v>
      </c>
      <c r="F20" s="8">
        <f t="shared" si="1"/>
        <v>21956.86</v>
      </c>
      <c r="G20" s="8">
        <f t="shared" si="1"/>
        <v>10677</v>
      </c>
      <c r="H20" s="8">
        <f t="shared" si="1"/>
        <v>10156.32</v>
      </c>
      <c r="I20" s="8">
        <f t="shared" si="1"/>
        <v>5885.4</v>
      </c>
      <c r="J20" s="8">
        <f t="shared" si="1"/>
        <v>4553.84</v>
      </c>
      <c r="K20" s="8">
        <f t="shared" si="1"/>
        <v>7006.72</v>
      </c>
      <c r="L20" s="8">
        <f t="shared" si="1"/>
        <v>5312.74</v>
      </c>
      <c r="M20" s="8">
        <f t="shared" si="1"/>
        <v>2246.79</v>
      </c>
      <c r="N20" s="8">
        <f t="shared" si="1"/>
        <v>0</v>
      </c>
      <c r="O20" s="8">
        <f t="shared" si="1"/>
        <v>2369.0700000000002</v>
      </c>
      <c r="P20" s="8">
        <f t="shared" si="1"/>
        <v>1651.98</v>
      </c>
      <c r="Q20" s="8">
        <f t="shared" si="1"/>
        <v>78633.97</v>
      </c>
      <c r="R20" s="1"/>
      <c r="S20" s="32"/>
      <c r="T20" s="1"/>
      <c r="U20" s="1"/>
      <c r="V20" s="1"/>
      <c r="W20" s="1"/>
      <c r="X20" s="1"/>
      <c r="Y20" s="1"/>
      <c r="Z20" s="1"/>
      <c r="AA20" s="1"/>
    </row>
    <row r="21" spans="1:27" ht="30" customHeight="1" x14ac:dyDescent="0.2">
      <c r="C21" s="53" t="s">
        <v>26</v>
      </c>
      <c r="D21" s="60" t="s">
        <v>2</v>
      </c>
      <c r="E21" s="6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2"/>
    </row>
    <row r="22" spans="1:27" ht="75.75" customHeight="1" x14ac:dyDescent="0.2">
      <c r="C22" s="54"/>
      <c r="D22" s="54"/>
      <c r="E22" s="21" t="s">
        <v>5</v>
      </c>
      <c r="F22" s="3" t="s">
        <v>6</v>
      </c>
      <c r="G22" s="3" t="s">
        <v>7</v>
      </c>
      <c r="H22" s="3" t="s">
        <v>8</v>
      </c>
      <c r="I22" s="3" t="s">
        <v>9</v>
      </c>
      <c r="J22" s="21" t="s">
        <v>70</v>
      </c>
      <c r="K22" s="3" t="s">
        <v>11</v>
      </c>
      <c r="L22" s="3" t="s">
        <v>12</v>
      </c>
      <c r="M22" s="3" t="s">
        <v>13</v>
      </c>
      <c r="N22" s="3" t="s">
        <v>14</v>
      </c>
      <c r="O22" s="3" t="s">
        <v>73</v>
      </c>
      <c r="P22" s="3" t="s">
        <v>15</v>
      </c>
      <c r="Q22" s="16" t="s">
        <v>4</v>
      </c>
    </row>
    <row r="23" spans="1:27" ht="41.25" customHeight="1" x14ac:dyDescent="0.2">
      <c r="A23" s="9"/>
      <c r="B23" s="9"/>
      <c r="C23" s="33" t="s">
        <v>27</v>
      </c>
      <c r="D23" s="22">
        <f>(673.6+38+2689+1280+727.17+174.35+525+138+540+651+4484.34+233.1+64.5+448+751.7+125+2991.25+1487.2+179.6+846.4+48+24+365.25+285.75+476)+(180+1179.2+168.5+550+370+130+36+1327.6+477.06+1679.9+36+484.5+80+332.97+462.91+704+94.5+215.98)</f>
        <v>28755.33</v>
      </c>
      <c r="E23" s="5">
        <v>2926.7</v>
      </c>
      <c r="F23" s="7">
        <f>9183.93+5965.03-740-740</f>
        <v>13668.96</v>
      </c>
      <c r="G23" s="5">
        <v>0</v>
      </c>
      <c r="H23" s="6">
        <v>4981</v>
      </c>
      <c r="I23" s="7">
        <v>0</v>
      </c>
      <c r="J23" s="5">
        <v>1095.2</v>
      </c>
      <c r="K23" s="6">
        <f>2833.48+3664</f>
        <v>6497.48</v>
      </c>
      <c r="L23" s="5">
        <v>4521</v>
      </c>
      <c r="M23" s="6">
        <v>0</v>
      </c>
      <c r="N23" s="5">
        <v>0</v>
      </c>
      <c r="O23" s="5">
        <v>1285.2</v>
      </c>
      <c r="P23" s="6">
        <v>0</v>
      </c>
      <c r="Q23" s="34">
        <f t="shared" ref="Q23:Q34" si="2">SUM(D23:P23)</f>
        <v>63730.869999999995</v>
      </c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41.25" customHeight="1" x14ac:dyDescent="0.2">
      <c r="A24" s="9"/>
      <c r="B24" s="9"/>
      <c r="C24" s="28" t="s">
        <v>28</v>
      </c>
      <c r="D24" s="36">
        <v>0</v>
      </c>
      <c r="E24" s="5">
        <v>610</v>
      </c>
      <c r="F24" s="5">
        <v>1730</v>
      </c>
      <c r="G24" s="5">
        <v>1610</v>
      </c>
      <c r="H24" s="5">
        <v>935</v>
      </c>
      <c r="I24" s="5">
        <v>885.4</v>
      </c>
      <c r="J24" s="5">
        <v>0</v>
      </c>
      <c r="K24" s="5">
        <v>440</v>
      </c>
      <c r="L24" s="5">
        <v>320</v>
      </c>
      <c r="M24" s="5">
        <v>100</v>
      </c>
      <c r="N24" s="5">
        <v>0</v>
      </c>
      <c r="O24" s="5">
        <v>300</v>
      </c>
      <c r="P24" s="5">
        <v>100</v>
      </c>
      <c r="Q24" s="34">
        <f t="shared" si="2"/>
        <v>7030.4</v>
      </c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40.5" customHeight="1" x14ac:dyDescent="0.2">
      <c r="A25" s="9"/>
      <c r="B25" s="9"/>
      <c r="C25" s="28" t="s">
        <v>29</v>
      </c>
      <c r="D25" s="36">
        <f>1040+240</f>
        <v>1280</v>
      </c>
      <c r="E25" s="5">
        <v>0</v>
      </c>
      <c r="F25" s="5">
        <f>80+740+740</f>
        <v>1560</v>
      </c>
      <c r="G25" s="5">
        <v>1067</v>
      </c>
      <c r="H25" s="6">
        <v>0</v>
      </c>
      <c r="I25" s="6">
        <v>0</v>
      </c>
      <c r="J25" s="5">
        <v>220.4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34">
        <f t="shared" si="2"/>
        <v>4127.3999999999996</v>
      </c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41.25" customHeight="1" x14ac:dyDescent="0.2">
      <c r="A26" s="9"/>
      <c r="B26" s="9"/>
      <c r="C26" s="28" t="s">
        <v>30</v>
      </c>
      <c r="D26" s="23">
        <f>140+140</f>
        <v>280</v>
      </c>
      <c r="E26" s="5">
        <v>0</v>
      </c>
      <c r="F26" s="6">
        <v>0</v>
      </c>
      <c r="G26" s="5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34">
        <f t="shared" si="2"/>
        <v>280</v>
      </c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41.25" customHeight="1" x14ac:dyDescent="0.2">
      <c r="A27" s="9"/>
      <c r="B27" s="9"/>
      <c r="C27" s="30" t="s">
        <v>51</v>
      </c>
      <c r="D27" s="22">
        <f>900+600+600</f>
        <v>2100</v>
      </c>
      <c r="E27" s="6">
        <v>0</v>
      </c>
      <c r="F27" s="7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34">
        <f t="shared" si="2"/>
        <v>2100</v>
      </c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41.25" customHeight="1" x14ac:dyDescent="0.2">
      <c r="A28" s="9"/>
      <c r="B28" s="9"/>
      <c r="C28" s="29" t="s">
        <v>48</v>
      </c>
      <c r="D28" s="23">
        <v>0</v>
      </c>
      <c r="E28" s="6">
        <v>0</v>
      </c>
      <c r="F28" s="5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34">
        <f t="shared" si="2"/>
        <v>0</v>
      </c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41.25" customHeight="1" x14ac:dyDescent="0.2">
      <c r="A29" s="9"/>
      <c r="B29" s="9"/>
      <c r="C29" s="28" t="s">
        <v>31</v>
      </c>
      <c r="D29" s="22">
        <f>3000+4000+500+4000</f>
        <v>11500</v>
      </c>
      <c r="E29" s="6">
        <v>0</v>
      </c>
      <c r="F29" s="6">
        <v>0</v>
      </c>
      <c r="G29" s="5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34">
        <f t="shared" si="2"/>
        <v>11500</v>
      </c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41.25" customHeight="1" x14ac:dyDescent="0.2">
      <c r="A30" s="9"/>
      <c r="B30" s="9"/>
      <c r="C30" s="39" t="s">
        <v>32</v>
      </c>
      <c r="D30" s="22">
        <v>41.9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34">
        <f t="shared" si="2"/>
        <v>41.9</v>
      </c>
      <c r="R30" s="9"/>
      <c r="S30" s="10"/>
      <c r="T30" s="9"/>
      <c r="U30" s="9"/>
      <c r="V30" s="9"/>
      <c r="W30" s="9"/>
      <c r="X30" s="9"/>
      <c r="Y30" s="9"/>
      <c r="Z30" s="9"/>
      <c r="AA30" s="9"/>
    </row>
    <row r="31" spans="1:27" ht="41.25" customHeight="1" x14ac:dyDescent="0.2">
      <c r="A31" s="9"/>
      <c r="B31" s="9"/>
      <c r="C31" s="39" t="s">
        <v>55</v>
      </c>
      <c r="D31" s="22">
        <f>1.2*9</f>
        <v>10.799999999999999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34">
        <f t="shared" si="2"/>
        <v>10.799999999999999</v>
      </c>
      <c r="R31" s="9"/>
      <c r="S31" s="10"/>
      <c r="T31" s="9"/>
      <c r="U31" s="9"/>
      <c r="V31" s="9"/>
      <c r="W31" s="9"/>
      <c r="X31" s="9"/>
      <c r="Y31" s="9"/>
      <c r="Z31" s="9"/>
      <c r="AA31" s="9"/>
    </row>
    <row r="32" spans="1:27" ht="41.25" customHeight="1" x14ac:dyDescent="0.2">
      <c r="A32" s="9"/>
      <c r="B32" s="9"/>
      <c r="C32" s="39" t="s">
        <v>33</v>
      </c>
      <c r="D32" s="22">
        <v>2.86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34">
        <f t="shared" si="2"/>
        <v>2.86</v>
      </c>
      <c r="R32" s="9"/>
      <c r="S32" s="10"/>
      <c r="T32" s="9"/>
      <c r="U32" s="9"/>
      <c r="V32" s="9"/>
      <c r="W32" s="9"/>
      <c r="X32" s="9"/>
      <c r="Y32" s="9"/>
      <c r="Z32" s="9"/>
      <c r="AA32" s="9"/>
    </row>
    <row r="33" spans="1:27" ht="41.25" customHeight="1" x14ac:dyDescent="0.2">
      <c r="A33" s="9"/>
      <c r="B33" s="9"/>
      <c r="C33" s="30" t="s">
        <v>49</v>
      </c>
      <c r="D33" s="22">
        <v>0</v>
      </c>
      <c r="E33" s="6">
        <v>0</v>
      </c>
      <c r="F33" s="6">
        <v>0</v>
      </c>
      <c r="G33" s="5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34">
        <f t="shared" si="2"/>
        <v>0</v>
      </c>
      <c r="R33" s="9"/>
      <c r="S33" s="10"/>
      <c r="T33" s="9"/>
      <c r="U33" s="9"/>
      <c r="V33" s="9"/>
      <c r="W33" s="9"/>
      <c r="X33" s="9"/>
      <c r="Y33" s="9"/>
      <c r="Z33" s="9"/>
      <c r="AA33" s="9"/>
    </row>
    <row r="34" spans="1:27" ht="41.25" customHeight="1" x14ac:dyDescent="0.2">
      <c r="A34" s="9"/>
      <c r="B34" s="9"/>
      <c r="C34" s="11" t="s">
        <v>34</v>
      </c>
      <c r="D34" s="23">
        <v>0</v>
      </c>
      <c r="E34" s="5">
        <v>0</v>
      </c>
      <c r="F34" s="7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34">
        <f t="shared" si="2"/>
        <v>0</v>
      </c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60.75" customHeight="1" x14ac:dyDescent="0.2">
      <c r="A35" s="12"/>
      <c r="B35" s="12"/>
      <c r="C35" s="31" t="s">
        <v>35</v>
      </c>
      <c r="D35" s="13">
        <f t="shared" ref="D35:Q35" si="3">SUM(D23:D34)</f>
        <v>43970.890000000007</v>
      </c>
      <c r="E35" s="13">
        <f t="shared" si="3"/>
        <v>3536.7</v>
      </c>
      <c r="F35" s="13">
        <f t="shared" si="3"/>
        <v>16958.96</v>
      </c>
      <c r="G35" s="13">
        <f t="shared" si="3"/>
        <v>2677</v>
      </c>
      <c r="H35" s="13">
        <f t="shared" si="3"/>
        <v>5916</v>
      </c>
      <c r="I35" s="13">
        <f t="shared" si="3"/>
        <v>885.4</v>
      </c>
      <c r="J35" s="13">
        <f t="shared" si="3"/>
        <v>1315.6000000000001</v>
      </c>
      <c r="K35" s="13">
        <f t="shared" si="3"/>
        <v>6937.48</v>
      </c>
      <c r="L35" s="13">
        <f t="shared" si="3"/>
        <v>4841</v>
      </c>
      <c r="M35" s="13">
        <f t="shared" si="3"/>
        <v>100</v>
      </c>
      <c r="N35" s="13">
        <f t="shared" si="3"/>
        <v>0</v>
      </c>
      <c r="O35" s="13">
        <f t="shared" si="3"/>
        <v>1585.2</v>
      </c>
      <c r="P35" s="13">
        <f t="shared" si="3"/>
        <v>100</v>
      </c>
      <c r="Q35" s="13">
        <f t="shared" si="3"/>
        <v>88824.229999999981</v>
      </c>
      <c r="R35" s="12"/>
      <c r="S35" s="14"/>
      <c r="T35" s="12"/>
      <c r="U35" s="12"/>
      <c r="V35" s="12"/>
      <c r="W35" s="12"/>
      <c r="X35" s="12"/>
      <c r="Y35" s="12"/>
      <c r="Z35" s="12"/>
      <c r="AA35" s="12"/>
    </row>
    <row r="36" spans="1:27" ht="59.25" customHeight="1" x14ac:dyDescent="0.2">
      <c r="A36" s="1"/>
      <c r="B36" s="1"/>
      <c r="C36" s="38" t="s">
        <v>36</v>
      </c>
      <c r="D36" s="15"/>
      <c r="E36" s="15">
        <f t="shared" ref="E36:P36" si="4">E20-E35</f>
        <v>3000.0000000000009</v>
      </c>
      <c r="F36" s="15">
        <f t="shared" si="4"/>
        <v>4997.9000000000015</v>
      </c>
      <c r="G36" s="15">
        <f t="shared" si="4"/>
        <v>8000</v>
      </c>
      <c r="H36" s="15">
        <f t="shared" si="4"/>
        <v>4240.32</v>
      </c>
      <c r="I36" s="15">
        <f t="shared" si="4"/>
        <v>5000</v>
      </c>
      <c r="J36" s="15">
        <f t="shared" si="4"/>
        <v>3238.24</v>
      </c>
      <c r="K36" s="15">
        <f t="shared" si="4"/>
        <v>69.240000000000691</v>
      </c>
      <c r="L36" s="15">
        <f t="shared" si="4"/>
        <v>471.73999999999978</v>
      </c>
      <c r="M36" s="15">
        <f t="shared" si="4"/>
        <v>2146.79</v>
      </c>
      <c r="N36" s="15">
        <f t="shared" si="4"/>
        <v>0</v>
      </c>
      <c r="O36" s="15">
        <f t="shared" si="4"/>
        <v>783.87000000000012</v>
      </c>
      <c r="P36" s="15">
        <f t="shared" si="4"/>
        <v>1551.98</v>
      </c>
      <c r="Q36" s="15">
        <f>Q20-Q35</f>
        <v>-10190.25999999998</v>
      </c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44.25" customHeight="1" x14ac:dyDescent="0.2">
      <c r="A37" s="1"/>
      <c r="B37" s="1"/>
      <c r="C37" s="35" t="s">
        <v>52</v>
      </c>
      <c r="D37" s="17"/>
      <c r="E37" s="17">
        <v>3000</v>
      </c>
      <c r="F37" s="17">
        <f>547.73+3999.86+450.31</f>
        <v>4997.9000000000005</v>
      </c>
      <c r="G37" s="25">
        <f>8000</f>
        <v>8000</v>
      </c>
      <c r="H37" s="24">
        <v>4240.32</v>
      </c>
      <c r="I37" s="24">
        <v>5000</v>
      </c>
      <c r="J37" s="25">
        <f>1238.24+1800+200</f>
        <v>3238.24</v>
      </c>
      <c r="K37" s="25">
        <v>69.239999999999995</v>
      </c>
      <c r="L37" s="25">
        <v>471.74</v>
      </c>
      <c r="M37" s="24">
        <v>2146.79</v>
      </c>
      <c r="N37" s="24">
        <v>0</v>
      </c>
      <c r="O37" s="24">
        <f>424.3+359.57</f>
        <v>783.87</v>
      </c>
      <c r="P37" s="25">
        <v>1551.98</v>
      </c>
      <c r="Q37" s="17">
        <f>SUM(E37:P37)</f>
        <v>33500.080000000002</v>
      </c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40.5" customHeight="1" x14ac:dyDescent="0.45"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27" ht="12.75" customHeight="1" x14ac:dyDescent="0.2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27" ht="12.75" customHeight="1" x14ac:dyDescent="0.2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27" ht="13.5" customHeight="1" thickBot="1" x14ac:dyDescent="0.25"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27" ht="45" customHeight="1" x14ac:dyDescent="0.2">
      <c r="C42" s="62" t="s">
        <v>37</v>
      </c>
      <c r="D42" s="63"/>
      <c r="E42" s="63"/>
      <c r="F42" s="63"/>
      <c r="G42" s="63"/>
      <c r="H42" s="63"/>
      <c r="I42" s="63"/>
      <c r="J42" s="64"/>
      <c r="K42" s="19"/>
      <c r="L42" s="19"/>
      <c r="M42" s="19"/>
    </row>
    <row r="43" spans="1:27" ht="34.5" customHeight="1" x14ac:dyDescent="0.2">
      <c r="C43" s="65" t="s">
        <v>38</v>
      </c>
      <c r="D43" s="52"/>
      <c r="E43" s="66">
        <v>0.03</v>
      </c>
      <c r="F43" s="52"/>
      <c r="G43" s="66">
        <v>0.02</v>
      </c>
      <c r="H43" s="52"/>
      <c r="I43" s="59" t="s">
        <v>4</v>
      </c>
      <c r="J43" s="67"/>
      <c r="K43" s="19"/>
      <c r="L43" s="19"/>
      <c r="M43" s="19"/>
    </row>
    <row r="44" spans="1:27" ht="36" customHeight="1" thickBot="1" x14ac:dyDescent="0.25">
      <c r="C44" s="68" t="s">
        <v>39</v>
      </c>
      <c r="D44" s="69"/>
      <c r="E44" s="70">
        <f>Q9*0.03</f>
        <v>2157.8094000000001</v>
      </c>
      <c r="F44" s="69"/>
      <c r="G44" s="70">
        <f>Q9*0.02</f>
        <v>1438.5396000000003</v>
      </c>
      <c r="H44" s="69"/>
      <c r="I44" s="71">
        <f>SUM(E44:H44)</f>
        <v>3596.3490000000002</v>
      </c>
      <c r="J44" s="72"/>
      <c r="K44" s="19"/>
      <c r="L44" s="19"/>
      <c r="M44" s="19"/>
    </row>
    <row r="45" spans="1:27" ht="12.75" customHeight="1" x14ac:dyDescent="0.2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27" ht="12.75" customHeight="1" x14ac:dyDescent="0.2"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27" ht="12.75" customHeight="1" x14ac:dyDescent="0.2"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27" ht="12.75" customHeight="1" x14ac:dyDescent="0.2"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3:18" ht="12.75" customHeight="1" x14ac:dyDescent="0.2"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3:18" ht="12.75" customHeight="1" x14ac:dyDescent="0.2"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3:18" ht="12.75" customHeight="1" x14ac:dyDescent="0.2"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3:18" ht="13.5" customHeight="1" thickBot="1" x14ac:dyDescent="0.25"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3:18" ht="59.25" customHeight="1" x14ac:dyDescent="0.2">
      <c r="C53" s="62" t="s">
        <v>40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4"/>
      <c r="O53" s="43"/>
      <c r="P53" s="19"/>
    </row>
    <row r="54" spans="3:18" ht="59.25" customHeight="1" x14ac:dyDescent="0.2">
      <c r="C54" s="79" t="s">
        <v>41</v>
      </c>
      <c r="D54" s="46"/>
      <c r="E54" s="56" t="s">
        <v>42</v>
      </c>
      <c r="F54" s="46"/>
      <c r="G54" s="81" t="s">
        <v>43</v>
      </c>
      <c r="H54" s="51"/>
      <c r="I54" s="51"/>
      <c r="J54" s="51"/>
      <c r="K54" s="51"/>
      <c r="L54" s="52"/>
      <c r="M54" s="56" t="s">
        <v>44</v>
      </c>
      <c r="N54" s="57"/>
      <c r="O54" s="43"/>
      <c r="P54" s="19"/>
    </row>
    <row r="55" spans="3:18" ht="41.25" customHeight="1" x14ac:dyDescent="0.2">
      <c r="C55" s="80"/>
      <c r="D55" s="49"/>
      <c r="E55" s="47"/>
      <c r="F55" s="49"/>
      <c r="G55" s="59" t="s">
        <v>45</v>
      </c>
      <c r="H55" s="52"/>
      <c r="I55" s="59" t="s">
        <v>46</v>
      </c>
      <c r="J55" s="52"/>
      <c r="K55" s="59" t="s">
        <v>36</v>
      </c>
      <c r="L55" s="52"/>
      <c r="M55" s="47"/>
      <c r="N55" s="58"/>
      <c r="O55" s="43"/>
      <c r="P55" s="19"/>
      <c r="Q55" s="19"/>
      <c r="R55" s="19"/>
    </row>
    <row r="56" spans="3:18" ht="41.25" customHeight="1" x14ac:dyDescent="0.2">
      <c r="C56" s="73" t="s">
        <v>47</v>
      </c>
      <c r="D56" s="52"/>
      <c r="E56" s="74">
        <v>2404.4299999999998</v>
      </c>
      <c r="F56" s="52"/>
      <c r="G56" s="75">
        <v>15037.68</v>
      </c>
      <c r="H56" s="52"/>
      <c r="I56" s="76">
        <v>-14693.88</v>
      </c>
      <c r="J56" s="52"/>
      <c r="K56" s="87">
        <f t="shared" ref="K56:K57" si="5">G56+I56</f>
        <v>343.80000000000109</v>
      </c>
      <c r="L56" s="52"/>
      <c r="M56" s="82">
        <f t="shared" ref="M56:M58" si="6">E56+K56</f>
        <v>2748.2300000000009</v>
      </c>
      <c r="N56" s="67"/>
      <c r="O56" s="43"/>
      <c r="P56" s="19"/>
      <c r="Q56" s="19"/>
      <c r="R56" s="19"/>
    </row>
    <row r="57" spans="3:18" ht="41.25" customHeight="1" x14ac:dyDescent="0.2">
      <c r="C57" s="73" t="s">
        <v>53</v>
      </c>
      <c r="D57" s="52"/>
      <c r="E57" s="74">
        <v>18118.93</v>
      </c>
      <c r="F57" s="52"/>
      <c r="G57" s="75">
        <v>23749.78</v>
      </c>
      <c r="H57" s="52"/>
      <c r="I57" s="76">
        <v>-29277.01</v>
      </c>
      <c r="J57" s="52"/>
      <c r="K57" s="87">
        <f t="shared" si="5"/>
        <v>-5527.23</v>
      </c>
      <c r="L57" s="90"/>
      <c r="M57" s="82">
        <f t="shared" si="6"/>
        <v>12591.7</v>
      </c>
      <c r="N57" s="67"/>
      <c r="O57" s="43"/>
      <c r="P57" s="19"/>
      <c r="Q57" s="20"/>
      <c r="R57" s="19"/>
    </row>
    <row r="58" spans="3:18" ht="60.75" customHeight="1" thickBot="1" x14ac:dyDescent="0.25">
      <c r="C58" s="68" t="s">
        <v>4</v>
      </c>
      <c r="D58" s="69"/>
      <c r="E58" s="70">
        <f>SUM(E56:F57)</f>
        <v>20523.36</v>
      </c>
      <c r="F58" s="69"/>
      <c r="G58" s="70">
        <f>SUM(G56:H57)</f>
        <v>38787.46</v>
      </c>
      <c r="H58" s="69"/>
      <c r="I58" s="84">
        <f>SUM(I56:J57)</f>
        <v>-43970.89</v>
      </c>
      <c r="J58" s="69"/>
      <c r="K58" s="84">
        <f>SUM(K56:L57)</f>
        <v>-5183.4299999999985</v>
      </c>
      <c r="L58" s="91"/>
      <c r="M58" s="70">
        <f t="shared" si="6"/>
        <v>15339.930000000002</v>
      </c>
      <c r="N58" s="72"/>
      <c r="O58" s="43"/>
      <c r="P58" s="19"/>
      <c r="Q58" s="19"/>
      <c r="R58" s="19"/>
    </row>
    <row r="59" spans="3:18" ht="12.75" customHeight="1" x14ac:dyDescent="0.2"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3:18" ht="12.75" customHeight="1" x14ac:dyDescent="0.2"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3:18" ht="12.75" customHeight="1" x14ac:dyDescent="0.2"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3:18" ht="12.75" customHeight="1" x14ac:dyDescent="0.2"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3:18" ht="12.75" customHeight="1" x14ac:dyDescent="0.2"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3:18" ht="12.75" customHeight="1" x14ac:dyDescent="0.2"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4:16" ht="12.75" customHeight="1" x14ac:dyDescent="0.2"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4:16" ht="12.75" customHeight="1" x14ac:dyDescent="0.2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4:16" ht="12.75" customHeight="1" x14ac:dyDescent="0.2"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4:16" ht="12.75" customHeight="1" x14ac:dyDescent="0.2"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4:16" ht="12.75" customHeight="1" x14ac:dyDescent="0.2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4:16" ht="12.75" customHeight="1" x14ac:dyDescent="0.2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4:16" ht="12.75" customHeight="1" x14ac:dyDescent="0.2"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4:16" ht="12.75" customHeight="1" x14ac:dyDescent="0.2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4:16" ht="12.75" customHeight="1" x14ac:dyDescent="0.2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4:16" ht="12.75" customHeight="1" x14ac:dyDescent="0.2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4:16" ht="12.75" customHeight="1" x14ac:dyDescent="0.2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4:16" ht="12.75" customHeight="1" x14ac:dyDescent="0.2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4:16" ht="12.75" customHeight="1" x14ac:dyDescent="0.2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4:16" ht="12.75" customHeight="1" x14ac:dyDescent="0.2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4:16" ht="12.75" customHeight="1" x14ac:dyDescent="0.2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4:16" ht="12.75" customHeight="1" x14ac:dyDescent="0.2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4:16" ht="12.75" customHeight="1" x14ac:dyDescent="0.2"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4:16" ht="12.75" customHeight="1" x14ac:dyDescent="0.2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4:16" ht="12.75" customHeight="1" x14ac:dyDescent="0.2"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4:16" ht="12.75" customHeight="1" x14ac:dyDescent="0.2"/>
    <row r="85" spans="4:16" ht="12.75" customHeight="1" x14ac:dyDescent="0.2"/>
    <row r="86" spans="4:16" ht="12.75" customHeight="1" x14ac:dyDescent="0.2"/>
    <row r="87" spans="4:16" ht="12.75" customHeight="1" x14ac:dyDescent="0.2"/>
    <row r="88" spans="4:16" ht="12.75" customHeight="1" x14ac:dyDescent="0.2"/>
    <row r="89" spans="4:16" ht="12.75" customHeight="1" x14ac:dyDescent="0.2"/>
    <row r="90" spans="4:16" ht="12.75" customHeight="1" x14ac:dyDescent="0.2"/>
    <row r="91" spans="4:16" ht="12.75" customHeight="1" x14ac:dyDescent="0.2"/>
    <row r="92" spans="4:16" ht="12.75" customHeight="1" x14ac:dyDescent="0.2"/>
    <row r="93" spans="4:16" ht="12.75" customHeight="1" x14ac:dyDescent="0.2"/>
    <row r="94" spans="4:16" ht="12.75" customHeight="1" x14ac:dyDescent="0.2"/>
    <row r="95" spans="4:16" ht="12.75" customHeight="1" x14ac:dyDescent="0.2"/>
    <row r="96" spans="4:1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44">
    <mergeCell ref="M58:N58"/>
    <mergeCell ref="M56:N56"/>
    <mergeCell ref="C57:D57"/>
    <mergeCell ref="E57:F57"/>
    <mergeCell ref="G57:H57"/>
    <mergeCell ref="I57:J57"/>
    <mergeCell ref="K57:L57"/>
    <mergeCell ref="M57:N57"/>
    <mergeCell ref="C58:D58"/>
    <mergeCell ref="E58:F58"/>
    <mergeCell ref="G58:H58"/>
    <mergeCell ref="I58:J58"/>
    <mergeCell ref="K58:L58"/>
    <mergeCell ref="K55:L55"/>
    <mergeCell ref="C56:D56"/>
    <mergeCell ref="E56:F56"/>
    <mergeCell ref="G56:H56"/>
    <mergeCell ref="I56:J56"/>
    <mergeCell ref="K56:L56"/>
    <mergeCell ref="C54:D55"/>
    <mergeCell ref="E54:F55"/>
    <mergeCell ref="G54:L54"/>
    <mergeCell ref="M54:N55"/>
    <mergeCell ref="G55:H55"/>
    <mergeCell ref="C21:C22"/>
    <mergeCell ref="D21:D22"/>
    <mergeCell ref="E21:Q21"/>
    <mergeCell ref="C42:J42"/>
    <mergeCell ref="C43:D43"/>
    <mergeCell ref="E43:F43"/>
    <mergeCell ref="G43:H43"/>
    <mergeCell ref="I43:J43"/>
    <mergeCell ref="C44:D44"/>
    <mergeCell ref="E44:F44"/>
    <mergeCell ref="G44:H44"/>
    <mergeCell ref="I44:J44"/>
    <mergeCell ref="C53:N53"/>
    <mergeCell ref="I55:J55"/>
    <mergeCell ref="C3:Q4"/>
    <mergeCell ref="D5:Q5"/>
    <mergeCell ref="C6:C7"/>
    <mergeCell ref="D6:D7"/>
    <mergeCell ref="E6:P6"/>
    <mergeCell ref="Q6:Q7"/>
  </mergeCells>
  <pageMargins left="0.7" right="0.7" top="0.75" bottom="0.75" header="0" footer="0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DCF6D-D05C-47D2-8DCF-101FCD27E359}">
  <dimension ref="A1:AA1001"/>
  <sheetViews>
    <sheetView showGridLines="0" topLeftCell="I19" zoomScale="50" zoomScaleNormal="50" workbookViewId="0">
      <selection activeCell="D28" sqref="D28"/>
    </sheetView>
  </sheetViews>
  <sheetFormatPr defaultColWidth="14.42578125" defaultRowHeight="15" customHeight="1" x14ac:dyDescent="0.2"/>
  <cols>
    <col min="1" max="2" width="8" customWidth="1"/>
    <col min="3" max="3" width="138.28515625" customWidth="1"/>
    <col min="4" max="17" width="29.7109375" customWidth="1"/>
    <col min="18" max="18" width="8" customWidth="1"/>
    <col min="19" max="19" width="25.85546875" customWidth="1"/>
    <col min="20" max="27" width="8" customWidth="1"/>
  </cols>
  <sheetData>
    <row r="1" spans="1:27" ht="83.25" customHeight="1" x14ac:dyDescent="0.2"/>
    <row r="2" spans="1:27" ht="13.5" customHeight="1" x14ac:dyDescent="0.2"/>
    <row r="3" spans="1:27" ht="37.5" customHeight="1" x14ac:dyDescent="0.2">
      <c r="C3" s="44" t="s">
        <v>0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</row>
    <row r="4" spans="1:27" ht="37.5" customHeight="1" x14ac:dyDescent="0.2"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9"/>
    </row>
    <row r="5" spans="1:27" ht="69.75" customHeight="1" x14ac:dyDescent="0.2">
      <c r="A5" s="1"/>
      <c r="B5" s="1"/>
      <c r="C5" s="26"/>
      <c r="D5" s="86" t="s">
        <v>62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48" customHeight="1" x14ac:dyDescent="0.2">
      <c r="C6" s="53" t="s">
        <v>1</v>
      </c>
      <c r="D6" s="53" t="s">
        <v>2</v>
      </c>
      <c r="E6" s="55" t="s">
        <v>3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2"/>
      <c r="Q6" s="53" t="s">
        <v>4</v>
      </c>
    </row>
    <row r="7" spans="1:27" ht="60.75" customHeight="1" x14ac:dyDescent="0.2">
      <c r="A7" s="2"/>
      <c r="B7" s="2"/>
      <c r="C7" s="54"/>
      <c r="D7" s="54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70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73</v>
      </c>
      <c r="P7" s="3" t="s">
        <v>15</v>
      </c>
      <c r="Q7" s="54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41.25" customHeight="1" x14ac:dyDescent="0.4">
      <c r="A8" s="4"/>
      <c r="B8" s="4"/>
      <c r="C8" s="28" t="s">
        <v>16</v>
      </c>
      <c r="D8" s="6">
        <v>0</v>
      </c>
      <c r="E8" s="5">
        <v>1080</v>
      </c>
      <c r="F8" s="5">
        <v>1720</v>
      </c>
      <c r="G8" s="5">
        <v>1200</v>
      </c>
      <c r="H8" s="5">
        <v>1170</v>
      </c>
      <c r="I8" s="5">
        <v>690</v>
      </c>
      <c r="J8" s="5">
        <v>20</v>
      </c>
      <c r="K8" s="5">
        <v>600</v>
      </c>
      <c r="L8" s="5">
        <v>520</v>
      </c>
      <c r="M8" s="5">
        <v>210</v>
      </c>
      <c r="N8" s="5">
        <v>280</v>
      </c>
      <c r="O8" s="5">
        <v>340</v>
      </c>
      <c r="P8" s="5">
        <v>105</v>
      </c>
      <c r="Q8" s="27">
        <f t="shared" ref="Q8:Q19" si="0">SUM(D8:P8)</f>
        <v>7935</v>
      </c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41.25" customHeight="1" x14ac:dyDescent="0.4">
      <c r="A9" s="4"/>
      <c r="B9" s="4"/>
      <c r="C9" s="28" t="s">
        <v>17</v>
      </c>
      <c r="D9" s="6">
        <v>0</v>
      </c>
      <c r="E9" s="5">
        <v>5198.33</v>
      </c>
      <c r="F9" s="5">
        <v>12980.4</v>
      </c>
      <c r="G9" s="5">
        <v>9967.94</v>
      </c>
      <c r="H9" s="5">
        <v>8568.2199999999993</v>
      </c>
      <c r="I9" s="5">
        <v>5499.26</v>
      </c>
      <c r="J9" s="5">
        <v>2496.37</v>
      </c>
      <c r="K9" s="5">
        <v>5190.3100000000004</v>
      </c>
      <c r="L9" s="5">
        <v>4645.6000000000004</v>
      </c>
      <c r="M9" s="5">
        <v>2188.52</v>
      </c>
      <c r="N9" s="5">
        <v>0</v>
      </c>
      <c r="O9" s="5">
        <v>1335.33</v>
      </c>
      <c r="P9" s="5">
        <v>600.02</v>
      </c>
      <c r="Q9" s="27">
        <f t="shared" si="0"/>
        <v>58670.299999999996</v>
      </c>
      <c r="R9" s="4" t="s">
        <v>18</v>
      </c>
      <c r="S9" s="4"/>
      <c r="T9" s="4"/>
      <c r="U9" s="4"/>
      <c r="V9" s="4"/>
      <c r="W9" s="4"/>
      <c r="X9" s="4"/>
      <c r="Y9" s="4"/>
      <c r="Z9" s="4"/>
      <c r="AA9" s="4"/>
    </row>
    <row r="10" spans="1:27" ht="41.25" customHeight="1" x14ac:dyDescent="0.4">
      <c r="A10" s="4"/>
      <c r="B10" s="4"/>
      <c r="C10" s="28" t="s">
        <v>19</v>
      </c>
      <c r="D10" s="6">
        <v>0</v>
      </c>
      <c r="E10" s="5">
        <v>-2681.21</v>
      </c>
      <c r="F10" s="5">
        <v>-144.94999999999999</v>
      </c>
      <c r="G10" s="5">
        <v>-892.94</v>
      </c>
      <c r="H10" s="5">
        <v>-663.04</v>
      </c>
      <c r="I10" s="5">
        <v>-6208.51</v>
      </c>
      <c r="J10" s="5">
        <v>-204.71</v>
      </c>
      <c r="K10" s="5">
        <v>0</v>
      </c>
      <c r="L10" s="5">
        <v>0</v>
      </c>
      <c r="M10" s="5">
        <v>0</v>
      </c>
      <c r="N10" s="5">
        <v>0</v>
      </c>
      <c r="O10" s="5">
        <v>-20</v>
      </c>
      <c r="P10" s="5">
        <v>100</v>
      </c>
      <c r="Q10" s="27">
        <f t="shared" si="0"/>
        <v>-10715.359999999999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41.25" customHeight="1" x14ac:dyDescent="0.4">
      <c r="A11" s="4"/>
      <c r="B11" s="4"/>
      <c r="C11" s="28" t="s">
        <v>20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27">
        <f t="shared" si="0"/>
        <v>0</v>
      </c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41.25" customHeight="1" x14ac:dyDescent="0.4">
      <c r="A12" s="4"/>
      <c r="B12" s="4"/>
      <c r="C12" s="39" t="s">
        <v>65</v>
      </c>
      <c r="D12" s="6">
        <f>0.26+2.78-0.51</f>
        <v>2.5300000000000002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27">
        <f t="shared" si="0"/>
        <v>2.5300000000000002</v>
      </c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41.25" customHeight="1" x14ac:dyDescent="0.4">
      <c r="A13" s="4"/>
      <c r="B13" s="4"/>
      <c r="C13" s="39" t="s">
        <v>54</v>
      </c>
      <c r="D13" s="5">
        <f>22.79+4.44+13.39</f>
        <v>40.620000000000005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27">
        <f t="shared" si="0"/>
        <v>40.620000000000005</v>
      </c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41.25" customHeight="1" x14ac:dyDescent="0.4">
      <c r="A14" s="4"/>
      <c r="B14" s="4"/>
      <c r="C14" s="28" t="s">
        <v>21</v>
      </c>
      <c r="D14" s="6">
        <v>0</v>
      </c>
      <c r="E14" s="5">
        <v>0</v>
      </c>
      <c r="F14" s="7">
        <v>0</v>
      </c>
      <c r="G14" s="6">
        <v>0</v>
      </c>
      <c r="H14" s="6">
        <v>0</v>
      </c>
      <c r="I14" s="6">
        <v>0</v>
      </c>
      <c r="J14" s="7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27">
        <f t="shared" si="0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41.25" customHeight="1" x14ac:dyDescent="0.4">
      <c r="A15" s="4"/>
      <c r="B15" s="4"/>
      <c r="C15" s="39" t="s">
        <v>22</v>
      </c>
      <c r="D15" s="6">
        <v>0</v>
      </c>
      <c r="E15" s="5">
        <v>0</v>
      </c>
      <c r="F15" s="7">
        <v>0</v>
      </c>
      <c r="G15" s="6">
        <v>0</v>
      </c>
      <c r="H15" s="6">
        <v>0</v>
      </c>
      <c r="I15" s="6">
        <v>0</v>
      </c>
      <c r="J15" s="7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27">
        <f t="shared" si="0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41.25" customHeight="1" x14ac:dyDescent="0.4">
      <c r="A16" s="4"/>
      <c r="B16" s="4"/>
      <c r="C16" s="39" t="s">
        <v>66</v>
      </c>
      <c r="D16" s="5">
        <v>0</v>
      </c>
      <c r="E16" s="5">
        <v>350</v>
      </c>
      <c r="F16" s="5">
        <v>1020</v>
      </c>
      <c r="G16" s="5">
        <v>1564.98</v>
      </c>
      <c r="H16" s="5">
        <v>530</v>
      </c>
      <c r="I16" s="7">
        <v>295</v>
      </c>
      <c r="J16" s="7">
        <v>160</v>
      </c>
      <c r="K16" s="5">
        <v>750</v>
      </c>
      <c r="L16" s="5">
        <v>215</v>
      </c>
      <c r="M16" s="5">
        <v>0</v>
      </c>
      <c r="N16" s="5">
        <v>215</v>
      </c>
      <c r="O16" s="5">
        <v>0</v>
      </c>
      <c r="P16" s="7">
        <v>60</v>
      </c>
      <c r="Q16" s="27">
        <f t="shared" si="0"/>
        <v>5159.9799999999996</v>
      </c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41.25" customHeight="1" x14ac:dyDescent="0.4">
      <c r="A17" s="4"/>
      <c r="B17" s="4"/>
      <c r="C17" s="28" t="s">
        <v>23</v>
      </c>
      <c r="D17" s="5">
        <v>0</v>
      </c>
      <c r="E17" s="5">
        <f>5919.27-108.52+247.04</f>
        <v>6057.79</v>
      </c>
      <c r="F17" s="5">
        <f>734.65-2083.48</f>
        <v>-1348.83</v>
      </c>
      <c r="G17" s="5">
        <f>5000-250.94</f>
        <v>4749.0600000000004</v>
      </c>
      <c r="H17" s="5">
        <v>2090.2800000000002</v>
      </c>
      <c r="I17" s="7">
        <f>4728.52+42.35-575.19</f>
        <v>4195.68</v>
      </c>
      <c r="J17" s="7">
        <v>920.8</v>
      </c>
      <c r="K17" s="5">
        <v>0</v>
      </c>
      <c r="L17" s="5">
        <v>573.1</v>
      </c>
      <c r="M17" s="5">
        <v>0</v>
      </c>
      <c r="N17" s="5">
        <v>1110</v>
      </c>
      <c r="O17" s="5">
        <v>0</v>
      </c>
      <c r="P17" s="7">
        <v>0</v>
      </c>
      <c r="Q17" s="27">
        <f t="shared" si="0"/>
        <v>18347.88</v>
      </c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41.25" customHeight="1" x14ac:dyDescent="0.4">
      <c r="A18" s="4"/>
      <c r="B18" s="4"/>
      <c r="C18" s="29" t="s">
        <v>50</v>
      </c>
      <c r="D18" s="6">
        <v>0</v>
      </c>
      <c r="E18" s="5">
        <v>0</v>
      </c>
      <c r="F18" s="5">
        <v>0</v>
      </c>
      <c r="G18" s="5">
        <v>-4500</v>
      </c>
      <c r="H18" s="6">
        <v>0</v>
      </c>
      <c r="I18" s="7">
        <v>0</v>
      </c>
      <c r="J18" s="7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27">
        <f t="shared" si="0"/>
        <v>-4500</v>
      </c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41.25" customHeight="1" x14ac:dyDescent="0.4">
      <c r="A19" s="4"/>
      <c r="B19" s="4"/>
      <c r="C19" s="30" t="s">
        <v>24</v>
      </c>
      <c r="D19" s="7">
        <v>0</v>
      </c>
      <c r="E19" s="5">
        <v>-41.01</v>
      </c>
      <c r="F19" s="5">
        <v>1152.5999999999999</v>
      </c>
      <c r="G19" s="5">
        <v>800.96</v>
      </c>
      <c r="H19" s="5">
        <v>-69.930000000000007</v>
      </c>
      <c r="I19" s="5">
        <v>145.97</v>
      </c>
      <c r="J19" s="6">
        <v>0</v>
      </c>
      <c r="K19" s="6">
        <v>0</v>
      </c>
      <c r="L19" s="5">
        <v>-280.66000000000003</v>
      </c>
      <c r="M19" s="7">
        <v>-15</v>
      </c>
      <c r="N19" s="6">
        <v>-465</v>
      </c>
      <c r="O19" s="6">
        <v>0</v>
      </c>
      <c r="P19" s="7">
        <v>-0.02</v>
      </c>
      <c r="Q19" s="27">
        <f t="shared" si="0"/>
        <v>1227.9099999999999</v>
      </c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59.25" customHeight="1" x14ac:dyDescent="0.2">
      <c r="A20" s="1"/>
      <c r="B20" s="1"/>
      <c r="C20" s="31" t="s">
        <v>25</v>
      </c>
      <c r="D20" s="8">
        <f t="shared" ref="D20:Q20" si="1">SUM(D8:D19)</f>
        <v>43.150000000000006</v>
      </c>
      <c r="E20" s="8">
        <f t="shared" si="1"/>
        <v>9963.9</v>
      </c>
      <c r="F20" s="8">
        <f t="shared" si="1"/>
        <v>15379.22</v>
      </c>
      <c r="G20" s="8">
        <f t="shared" si="1"/>
        <v>12890</v>
      </c>
      <c r="H20" s="8">
        <f t="shared" si="1"/>
        <v>11625.53</v>
      </c>
      <c r="I20" s="8">
        <f t="shared" si="1"/>
        <v>4617.4000000000005</v>
      </c>
      <c r="J20" s="8">
        <f t="shared" si="1"/>
        <v>3392.46</v>
      </c>
      <c r="K20" s="8">
        <f t="shared" si="1"/>
        <v>6540.31</v>
      </c>
      <c r="L20" s="8">
        <f t="shared" si="1"/>
        <v>5673.0400000000009</v>
      </c>
      <c r="M20" s="8">
        <f t="shared" si="1"/>
        <v>2383.52</v>
      </c>
      <c r="N20" s="8">
        <f t="shared" si="1"/>
        <v>1140</v>
      </c>
      <c r="O20" s="8">
        <f t="shared" si="1"/>
        <v>1655.33</v>
      </c>
      <c r="P20" s="8">
        <f t="shared" si="1"/>
        <v>865</v>
      </c>
      <c r="Q20" s="8">
        <f t="shared" si="1"/>
        <v>76168.86</v>
      </c>
      <c r="R20" s="1"/>
      <c r="S20" s="32"/>
      <c r="T20" s="1"/>
      <c r="U20" s="1"/>
      <c r="V20" s="1"/>
      <c r="W20" s="1"/>
      <c r="X20" s="1"/>
      <c r="Y20" s="1"/>
      <c r="Z20" s="1"/>
      <c r="AA20" s="1"/>
    </row>
    <row r="21" spans="1:27" ht="30" customHeight="1" x14ac:dyDescent="0.2">
      <c r="C21" s="53" t="s">
        <v>26</v>
      </c>
      <c r="D21" s="60" t="s">
        <v>2</v>
      </c>
      <c r="E21" s="6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2"/>
    </row>
    <row r="22" spans="1:27" ht="75.75" customHeight="1" x14ac:dyDescent="0.2">
      <c r="C22" s="54"/>
      <c r="D22" s="54"/>
      <c r="E22" s="21" t="s">
        <v>5</v>
      </c>
      <c r="F22" s="3" t="s">
        <v>6</v>
      </c>
      <c r="G22" s="3" t="s">
        <v>7</v>
      </c>
      <c r="H22" s="3" t="s">
        <v>8</v>
      </c>
      <c r="I22" s="3" t="s">
        <v>9</v>
      </c>
      <c r="J22" s="21" t="s">
        <v>70</v>
      </c>
      <c r="K22" s="3" t="s">
        <v>11</v>
      </c>
      <c r="L22" s="3" t="s">
        <v>12</v>
      </c>
      <c r="M22" s="3" t="s">
        <v>13</v>
      </c>
      <c r="N22" s="3" t="s">
        <v>14</v>
      </c>
      <c r="O22" s="3" t="s">
        <v>73</v>
      </c>
      <c r="P22" s="3" t="s">
        <v>15</v>
      </c>
      <c r="Q22" s="16" t="s">
        <v>4</v>
      </c>
    </row>
    <row r="23" spans="1:27" ht="41.25" customHeight="1" x14ac:dyDescent="0.2">
      <c r="A23" s="9"/>
      <c r="B23" s="9"/>
      <c r="C23" s="33" t="s">
        <v>27</v>
      </c>
      <c r="D23" s="22">
        <f>(500+252.9+32+350+1645.88+60+1936.8+658+847+1853+54+388+542+570+918.6+406+660.9+179.5+168+570+48+306+631+400+290.15+98.8+532+270+101.5+904.7+874.1+251.2+455+155)+(919.2+1318.1+795+778+69+526.5+461.4+12+1748+400+65.7+3097.5+377.4+222+547.58+1064.7+561.75)</f>
        <v>30873.86</v>
      </c>
      <c r="E23" s="5">
        <v>3593.9</v>
      </c>
      <c r="F23" s="7">
        <f>9767.04+3418-740</f>
        <v>12445.04</v>
      </c>
      <c r="G23" s="5">
        <v>0</v>
      </c>
      <c r="H23" s="6">
        <v>3341.7</v>
      </c>
      <c r="I23" s="7">
        <v>3732</v>
      </c>
      <c r="J23" s="5">
        <v>595.9</v>
      </c>
      <c r="K23" s="6">
        <f>3254.5+2288</f>
        <v>5542.5</v>
      </c>
      <c r="L23" s="5">
        <v>3250</v>
      </c>
      <c r="M23" s="6">
        <v>0</v>
      </c>
      <c r="N23" s="5">
        <v>0</v>
      </c>
      <c r="O23" s="5">
        <v>310.89999999999998</v>
      </c>
      <c r="P23" s="6">
        <v>0</v>
      </c>
      <c r="Q23" s="34">
        <f t="shared" ref="Q23:Q34" si="2">SUM(D23:P23)</f>
        <v>63685.8</v>
      </c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41.25" customHeight="1" x14ac:dyDescent="0.2">
      <c r="A24" s="9"/>
      <c r="B24" s="9"/>
      <c r="C24" s="28" t="s">
        <v>28</v>
      </c>
      <c r="D24" s="36">
        <v>0</v>
      </c>
      <c r="E24" s="5">
        <v>470</v>
      </c>
      <c r="F24" s="5">
        <v>1315</v>
      </c>
      <c r="G24" s="5">
        <v>530</v>
      </c>
      <c r="H24" s="5">
        <v>706.5</v>
      </c>
      <c r="I24" s="5">
        <v>885.4</v>
      </c>
      <c r="J24" s="5">
        <v>0</v>
      </c>
      <c r="K24" s="5">
        <v>420</v>
      </c>
      <c r="L24" s="5">
        <v>320</v>
      </c>
      <c r="M24" s="5">
        <v>0</v>
      </c>
      <c r="N24" s="5">
        <v>0</v>
      </c>
      <c r="O24" s="5">
        <v>320</v>
      </c>
      <c r="P24" s="5">
        <v>100</v>
      </c>
      <c r="Q24" s="34">
        <f t="shared" si="2"/>
        <v>5066.8999999999996</v>
      </c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40.5" customHeight="1" x14ac:dyDescent="0.2">
      <c r="A25" s="9"/>
      <c r="B25" s="9"/>
      <c r="C25" s="28" t="s">
        <v>29</v>
      </c>
      <c r="D25" s="36">
        <f>1040+240</f>
        <v>1280</v>
      </c>
      <c r="E25" s="5">
        <v>0</v>
      </c>
      <c r="F25" s="5">
        <v>740</v>
      </c>
      <c r="G25" s="5">
        <v>360</v>
      </c>
      <c r="H25" s="6">
        <v>0</v>
      </c>
      <c r="I25" s="6">
        <v>0</v>
      </c>
      <c r="J25" s="5">
        <v>226.67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34">
        <f t="shared" si="2"/>
        <v>2606.67</v>
      </c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41.25" customHeight="1" x14ac:dyDescent="0.2">
      <c r="A26" s="9"/>
      <c r="B26" s="9"/>
      <c r="C26" s="28" t="s">
        <v>30</v>
      </c>
      <c r="D26" s="23">
        <f>140+140</f>
        <v>280</v>
      </c>
      <c r="E26" s="5">
        <v>0</v>
      </c>
      <c r="F26" s="6">
        <v>0</v>
      </c>
      <c r="G26" s="5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34">
        <f t="shared" si="2"/>
        <v>280</v>
      </c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41.25" customHeight="1" x14ac:dyDescent="0.2">
      <c r="A27" s="9"/>
      <c r="B27" s="9"/>
      <c r="C27" s="30" t="s">
        <v>51</v>
      </c>
      <c r="D27" s="22">
        <v>600</v>
      </c>
      <c r="E27" s="6">
        <v>0</v>
      </c>
      <c r="F27" s="7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34">
        <f t="shared" si="2"/>
        <v>600</v>
      </c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41.25" customHeight="1" x14ac:dyDescent="0.2">
      <c r="A28" s="9"/>
      <c r="B28" s="9"/>
      <c r="C28" s="29" t="s">
        <v>48</v>
      </c>
      <c r="D28" s="23">
        <v>0</v>
      </c>
      <c r="E28" s="6">
        <v>0</v>
      </c>
      <c r="F28" s="5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34">
        <f t="shared" si="2"/>
        <v>0</v>
      </c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41.25" customHeight="1" x14ac:dyDescent="0.2">
      <c r="A29" s="9"/>
      <c r="B29" s="9"/>
      <c r="C29" s="28" t="s">
        <v>31</v>
      </c>
      <c r="D29" s="22">
        <v>0</v>
      </c>
      <c r="E29" s="6">
        <v>0</v>
      </c>
      <c r="F29" s="6">
        <v>0</v>
      </c>
      <c r="G29" s="5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34">
        <f t="shared" si="2"/>
        <v>0</v>
      </c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41.25" customHeight="1" x14ac:dyDescent="0.2">
      <c r="A30" s="9"/>
      <c r="B30" s="9"/>
      <c r="C30" s="39" t="s">
        <v>32</v>
      </c>
      <c r="D30" s="22">
        <v>41.9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34">
        <f t="shared" si="2"/>
        <v>41.9</v>
      </c>
      <c r="R30" s="9"/>
      <c r="S30" s="10"/>
      <c r="T30" s="9"/>
      <c r="U30" s="9"/>
      <c r="V30" s="9"/>
      <c r="W30" s="9"/>
      <c r="X30" s="9"/>
      <c r="Y30" s="9"/>
      <c r="Z30" s="9"/>
      <c r="AA30" s="9"/>
    </row>
    <row r="31" spans="1:27" ht="41.25" customHeight="1" x14ac:dyDescent="0.2">
      <c r="A31" s="9"/>
      <c r="B31" s="9"/>
      <c r="C31" s="39" t="s">
        <v>55</v>
      </c>
      <c r="D31" s="22">
        <f>1.2*15</f>
        <v>18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34">
        <f t="shared" si="2"/>
        <v>18</v>
      </c>
      <c r="R31" s="9"/>
      <c r="S31" s="10"/>
      <c r="T31" s="9"/>
      <c r="U31" s="9"/>
      <c r="V31" s="9"/>
      <c r="W31" s="9"/>
      <c r="X31" s="9"/>
      <c r="Y31" s="9"/>
      <c r="Z31" s="9"/>
      <c r="AA31" s="9"/>
    </row>
    <row r="32" spans="1:27" ht="41.25" customHeight="1" x14ac:dyDescent="0.2">
      <c r="A32" s="9"/>
      <c r="B32" s="9"/>
      <c r="C32" s="39" t="s">
        <v>33</v>
      </c>
      <c r="D32" s="22">
        <v>2.86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34">
        <f t="shared" si="2"/>
        <v>2.86</v>
      </c>
      <c r="R32" s="9"/>
      <c r="S32" s="10"/>
      <c r="T32" s="9"/>
      <c r="U32" s="9"/>
      <c r="V32" s="9"/>
      <c r="W32" s="9"/>
      <c r="X32" s="9"/>
      <c r="Y32" s="9"/>
      <c r="Z32" s="9"/>
      <c r="AA32" s="9"/>
    </row>
    <row r="33" spans="1:27" ht="41.25" customHeight="1" x14ac:dyDescent="0.2">
      <c r="A33" s="9"/>
      <c r="B33" s="9"/>
      <c r="C33" s="30" t="s">
        <v>49</v>
      </c>
      <c r="D33" s="22">
        <v>0</v>
      </c>
      <c r="E33" s="6">
        <v>0</v>
      </c>
      <c r="F33" s="6">
        <v>0</v>
      </c>
      <c r="G33" s="5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34">
        <f t="shared" si="2"/>
        <v>0</v>
      </c>
      <c r="R33" s="9"/>
      <c r="S33" s="10"/>
      <c r="T33" s="9"/>
      <c r="U33" s="9"/>
      <c r="V33" s="9"/>
      <c r="W33" s="9"/>
      <c r="X33" s="9"/>
      <c r="Y33" s="9"/>
      <c r="Z33" s="9"/>
      <c r="AA33" s="9"/>
    </row>
    <row r="34" spans="1:27" ht="41.25" customHeight="1" x14ac:dyDescent="0.2">
      <c r="A34" s="9"/>
      <c r="B34" s="9"/>
      <c r="C34" s="11" t="s">
        <v>34</v>
      </c>
      <c r="D34" s="23">
        <v>0</v>
      </c>
      <c r="E34" s="5">
        <v>0</v>
      </c>
      <c r="F34" s="7">
        <v>0</v>
      </c>
      <c r="G34" s="6">
        <v>0</v>
      </c>
      <c r="H34" s="6">
        <v>0</v>
      </c>
      <c r="I34" s="6">
        <v>0</v>
      </c>
      <c r="J34" s="6">
        <v>0</v>
      </c>
      <c r="K34" s="6"/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34">
        <f t="shared" si="2"/>
        <v>0</v>
      </c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60.75" customHeight="1" x14ac:dyDescent="0.2">
      <c r="A35" s="12"/>
      <c r="B35" s="12"/>
      <c r="C35" s="31" t="s">
        <v>35</v>
      </c>
      <c r="D35" s="13">
        <f t="shared" ref="D35:Q35" si="3">SUM(D23:D34)</f>
        <v>33096.620000000003</v>
      </c>
      <c r="E35" s="13">
        <f t="shared" si="3"/>
        <v>4063.9</v>
      </c>
      <c r="F35" s="13">
        <f t="shared" si="3"/>
        <v>14500.04</v>
      </c>
      <c r="G35" s="13">
        <f t="shared" si="3"/>
        <v>890</v>
      </c>
      <c r="H35" s="13">
        <f t="shared" si="3"/>
        <v>4048.2</v>
      </c>
      <c r="I35" s="13">
        <f t="shared" si="3"/>
        <v>4617.3999999999996</v>
      </c>
      <c r="J35" s="13">
        <f t="shared" si="3"/>
        <v>822.56999999999994</v>
      </c>
      <c r="K35" s="13">
        <f t="shared" si="3"/>
        <v>5962.5</v>
      </c>
      <c r="L35" s="13">
        <f t="shared" si="3"/>
        <v>3570</v>
      </c>
      <c r="M35" s="13">
        <f t="shared" si="3"/>
        <v>0</v>
      </c>
      <c r="N35" s="13">
        <f t="shared" si="3"/>
        <v>0</v>
      </c>
      <c r="O35" s="13">
        <f t="shared" si="3"/>
        <v>630.9</v>
      </c>
      <c r="P35" s="13">
        <f t="shared" si="3"/>
        <v>100</v>
      </c>
      <c r="Q35" s="13">
        <f t="shared" si="3"/>
        <v>72302.12999999999</v>
      </c>
      <c r="R35" s="12"/>
      <c r="S35" s="14"/>
      <c r="T35" s="12"/>
      <c r="U35" s="12"/>
      <c r="V35" s="12"/>
      <c r="W35" s="12"/>
      <c r="X35" s="12"/>
      <c r="Y35" s="12"/>
      <c r="Z35" s="12"/>
      <c r="AA35" s="12"/>
    </row>
    <row r="36" spans="1:27" ht="59.25" customHeight="1" x14ac:dyDescent="0.2">
      <c r="A36" s="1"/>
      <c r="B36" s="1"/>
      <c r="C36" s="38" t="s">
        <v>36</v>
      </c>
      <c r="D36" s="15"/>
      <c r="E36" s="15">
        <f t="shared" ref="E36:Q36" si="4">E20-E35</f>
        <v>5900</v>
      </c>
      <c r="F36" s="15">
        <f t="shared" si="4"/>
        <v>879.17999999999847</v>
      </c>
      <c r="G36" s="15">
        <f t="shared" si="4"/>
        <v>12000</v>
      </c>
      <c r="H36" s="15">
        <f t="shared" si="4"/>
        <v>7577.3300000000008</v>
      </c>
      <c r="I36" s="15">
        <f t="shared" si="4"/>
        <v>0</v>
      </c>
      <c r="J36" s="15">
        <f t="shared" si="4"/>
        <v>2569.8900000000003</v>
      </c>
      <c r="K36" s="15">
        <f t="shared" si="4"/>
        <v>577.8100000000004</v>
      </c>
      <c r="L36" s="15">
        <f t="shared" si="4"/>
        <v>2103.0400000000009</v>
      </c>
      <c r="M36" s="15">
        <f t="shared" si="4"/>
        <v>2383.52</v>
      </c>
      <c r="N36" s="15">
        <f t="shared" si="4"/>
        <v>1140</v>
      </c>
      <c r="O36" s="15">
        <f t="shared" si="4"/>
        <v>1024.4299999999998</v>
      </c>
      <c r="P36" s="15">
        <f t="shared" si="4"/>
        <v>765</v>
      </c>
      <c r="Q36" s="15">
        <f t="shared" si="4"/>
        <v>3866.7300000000105</v>
      </c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44.25" customHeight="1" x14ac:dyDescent="0.2">
      <c r="A37" s="1"/>
      <c r="B37" s="1"/>
      <c r="C37" s="35" t="s">
        <v>52</v>
      </c>
      <c r="D37" s="17"/>
      <c r="E37" s="17">
        <v>5900</v>
      </c>
      <c r="F37" s="17">
        <f>216.71+308.15+63.64+290.68</f>
        <v>879.18000000000006</v>
      </c>
      <c r="G37" s="25">
        <f>5000+7000</f>
        <v>12000</v>
      </c>
      <c r="H37" s="24">
        <f>1700+2877.33+3000</f>
        <v>7577.33</v>
      </c>
      <c r="I37" s="24">
        <v>0</v>
      </c>
      <c r="J37" s="25">
        <f>920.7+890+240.58+445.58+73.03</f>
        <v>2569.8900000000003</v>
      </c>
      <c r="K37" s="25">
        <f>577.81</f>
        <v>577.80999999999995</v>
      </c>
      <c r="L37" s="25">
        <v>2103.04</v>
      </c>
      <c r="M37" s="24">
        <v>2383.52</v>
      </c>
      <c r="N37" s="24">
        <f>550+590</f>
        <v>1140</v>
      </c>
      <c r="O37" s="24">
        <v>1024.43</v>
      </c>
      <c r="P37" s="25">
        <v>765</v>
      </c>
      <c r="Q37" s="17">
        <f>SUM(E37:P37)</f>
        <v>36920.200000000004</v>
      </c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40.5" customHeight="1" x14ac:dyDescent="0.45"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27" ht="12.75" customHeight="1" x14ac:dyDescent="0.2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27" ht="12.75" customHeight="1" x14ac:dyDescent="0.2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27" ht="13.5" customHeight="1" thickBot="1" x14ac:dyDescent="0.25"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27" ht="45" customHeight="1" x14ac:dyDescent="0.2">
      <c r="C42" s="62" t="s">
        <v>37</v>
      </c>
      <c r="D42" s="63"/>
      <c r="E42" s="63"/>
      <c r="F42" s="63"/>
      <c r="G42" s="63"/>
      <c r="H42" s="63"/>
      <c r="I42" s="63"/>
      <c r="J42" s="64"/>
      <c r="K42" s="19"/>
      <c r="L42" s="19"/>
      <c r="M42" s="19"/>
    </row>
    <row r="43" spans="1:27" ht="34.5" customHeight="1" x14ac:dyDescent="0.2">
      <c r="C43" s="65" t="s">
        <v>38</v>
      </c>
      <c r="D43" s="52"/>
      <c r="E43" s="66">
        <v>0.03</v>
      </c>
      <c r="F43" s="52"/>
      <c r="G43" s="66">
        <v>0.02</v>
      </c>
      <c r="H43" s="52"/>
      <c r="I43" s="59" t="s">
        <v>4</v>
      </c>
      <c r="J43" s="67"/>
      <c r="K43" s="19"/>
      <c r="L43" s="19"/>
      <c r="M43" s="19"/>
    </row>
    <row r="44" spans="1:27" ht="36" customHeight="1" thickBot="1" x14ac:dyDescent="0.25">
      <c r="C44" s="68" t="s">
        <v>39</v>
      </c>
      <c r="D44" s="69"/>
      <c r="E44" s="70">
        <f>Q9*0.03</f>
        <v>1760.1089999999997</v>
      </c>
      <c r="F44" s="69"/>
      <c r="G44" s="70">
        <f>Q9*0.02</f>
        <v>1173.4059999999999</v>
      </c>
      <c r="H44" s="69"/>
      <c r="I44" s="71">
        <f>SUM(E44:H44)</f>
        <v>2933.5149999999994</v>
      </c>
      <c r="J44" s="72"/>
      <c r="K44" s="19"/>
      <c r="L44" s="19"/>
      <c r="M44" s="19"/>
    </row>
    <row r="45" spans="1:27" ht="12.75" customHeight="1" x14ac:dyDescent="0.2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27" ht="12.75" customHeight="1" x14ac:dyDescent="0.2"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27" ht="12.75" customHeight="1" x14ac:dyDescent="0.2"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27" ht="12.75" customHeight="1" x14ac:dyDescent="0.2"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3:18" ht="12.75" customHeight="1" x14ac:dyDescent="0.2"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3:18" ht="12.75" customHeight="1" x14ac:dyDescent="0.2"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3:18" ht="12.75" customHeight="1" x14ac:dyDescent="0.2"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3:18" ht="13.5" customHeight="1" thickBot="1" x14ac:dyDescent="0.25"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3:18" ht="59.25" customHeight="1" x14ac:dyDescent="0.2">
      <c r="C53" s="62" t="s">
        <v>40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4"/>
      <c r="O53" s="43"/>
      <c r="P53" s="19"/>
    </row>
    <row r="54" spans="3:18" ht="59.25" customHeight="1" x14ac:dyDescent="0.2">
      <c r="C54" s="79" t="s">
        <v>41</v>
      </c>
      <c r="D54" s="46"/>
      <c r="E54" s="56" t="s">
        <v>42</v>
      </c>
      <c r="F54" s="46"/>
      <c r="G54" s="81" t="s">
        <v>43</v>
      </c>
      <c r="H54" s="51"/>
      <c r="I54" s="51"/>
      <c r="J54" s="51"/>
      <c r="K54" s="51"/>
      <c r="L54" s="52"/>
      <c r="M54" s="56" t="s">
        <v>44</v>
      </c>
      <c r="N54" s="57"/>
      <c r="O54" s="43"/>
      <c r="P54" s="19"/>
    </row>
    <row r="55" spans="3:18" ht="41.25" customHeight="1" x14ac:dyDescent="0.2">
      <c r="C55" s="80"/>
      <c r="D55" s="49"/>
      <c r="E55" s="47"/>
      <c r="F55" s="49"/>
      <c r="G55" s="59" t="s">
        <v>45</v>
      </c>
      <c r="H55" s="52"/>
      <c r="I55" s="59" t="s">
        <v>46</v>
      </c>
      <c r="J55" s="52"/>
      <c r="K55" s="59" t="s">
        <v>36</v>
      </c>
      <c r="L55" s="52"/>
      <c r="M55" s="47"/>
      <c r="N55" s="58"/>
      <c r="O55" s="43"/>
      <c r="P55" s="19"/>
      <c r="Q55" s="19"/>
      <c r="R55" s="19"/>
    </row>
    <row r="56" spans="3:18" ht="41.25" customHeight="1" x14ac:dyDescent="0.2">
      <c r="C56" s="73" t="s">
        <v>47</v>
      </c>
      <c r="D56" s="52"/>
      <c r="E56" s="74">
        <v>2748.23</v>
      </c>
      <c r="F56" s="52"/>
      <c r="G56" s="75">
        <v>17916.59</v>
      </c>
      <c r="H56" s="52"/>
      <c r="I56" s="76">
        <v>-14249.1</v>
      </c>
      <c r="J56" s="52"/>
      <c r="K56" s="87">
        <f t="shared" ref="K56:K57" si="5">G56+I56</f>
        <v>3667.49</v>
      </c>
      <c r="L56" s="52"/>
      <c r="M56" s="82">
        <f t="shared" ref="M56:M58" si="6">E56+K56</f>
        <v>6415.7199999999993</v>
      </c>
      <c r="N56" s="67"/>
      <c r="O56" s="43"/>
      <c r="P56" s="19"/>
      <c r="Q56" s="19"/>
      <c r="R56" s="19"/>
    </row>
    <row r="57" spans="3:18" ht="41.25" customHeight="1" x14ac:dyDescent="0.2">
      <c r="C57" s="73" t="s">
        <v>53</v>
      </c>
      <c r="D57" s="52"/>
      <c r="E57" s="74">
        <v>12591.7</v>
      </c>
      <c r="F57" s="52"/>
      <c r="G57" s="75">
        <v>18022.84</v>
      </c>
      <c r="H57" s="52"/>
      <c r="I57" s="76">
        <v>-19848.03</v>
      </c>
      <c r="J57" s="52"/>
      <c r="K57" s="83">
        <f t="shared" si="5"/>
        <v>-1825.1899999999987</v>
      </c>
      <c r="L57" s="52"/>
      <c r="M57" s="82">
        <f t="shared" si="6"/>
        <v>10766.510000000002</v>
      </c>
      <c r="N57" s="67"/>
      <c r="O57" s="43"/>
      <c r="P57" s="19"/>
      <c r="Q57" s="20"/>
      <c r="R57" s="19"/>
    </row>
    <row r="58" spans="3:18" ht="60.75" customHeight="1" thickBot="1" x14ac:dyDescent="0.25">
      <c r="C58" s="68" t="s">
        <v>4</v>
      </c>
      <c r="D58" s="69"/>
      <c r="E58" s="70">
        <f>SUM(E56:F57)</f>
        <v>15339.93</v>
      </c>
      <c r="F58" s="69"/>
      <c r="G58" s="70">
        <f>SUM(G56:H57)</f>
        <v>35939.43</v>
      </c>
      <c r="H58" s="69"/>
      <c r="I58" s="84">
        <f>SUM(I56:J57)</f>
        <v>-34097.129999999997</v>
      </c>
      <c r="J58" s="69"/>
      <c r="K58" s="71">
        <f>SUM(K56:L57)</f>
        <v>1842.3000000000011</v>
      </c>
      <c r="L58" s="69"/>
      <c r="M58" s="70">
        <f t="shared" si="6"/>
        <v>17182.230000000003</v>
      </c>
      <c r="N58" s="72"/>
      <c r="O58" s="43"/>
      <c r="P58" s="19"/>
      <c r="Q58" s="19"/>
      <c r="R58" s="19"/>
    </row>
    <row r="59" spans="3:18" ht="12.75" customHeight="1" x14ac:dyDescent="0.2"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3:18" ht="12.75" customHeight="1" x14ac:dyDescent="0.2"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3:18" ht="12.75" customHeight="1" x14ac:dyDescent="0.2"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3:18" ht="12.75" customHeight="1" x14ac:dyDescent="0.2"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3:18" ht="12.75" customHeight="1" x14ac:dyDescent="0.2"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3:18" ht="12.75" customHeight="1" x14ac:dyDescent="0.2"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4:16" ht="12.75" customHeight="1" x14ac:dyDescent="0.2"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4:16" ht="12.75" customHeight="1" x14ac:dyDescent="0.2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4:16" ht="12.75" customHeight="1" x14ac:dyDescent="0.2"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4:16" ht="12.75" customHeight="1" x14ac:dyDescent="0.2"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4:16" ht="12.75" customHeight="1" x14ac:dyDescent="0.2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4:16" ht="12.75" customHeight="1" x14ac:dyDescent="0.2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4:16" ht="12.75" customHeight="1" x14ac:dyDescent="0.2"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4:16" ht="12.75" customHeight="1" x14ac:dyDescent="0.2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4:16" ht="12.75" customHeight="1" x14ac:dyDescent="0.2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4:16" ht="12.75" customHeight="1" x14ac:dyDescent="0.2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4:16" ht="12.75" customHeight="1" x14ac:dyDescent="0.2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4:16" ht="12.75" customHeight="1" x14ac:dyDescent="0.2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4:16" ht="12.75" customHeight="1" x14ac:dyDescent="0.2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4:16" ht="12.75" customHeight="1" x14ac:dyDescent="0.2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4:16" ht="12.75" customHeight="1" x14ac:dyDescent="0.2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4:16" ht="12.75" customHeight="1" x14ac:dyDescent="0.2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4:16" ht="12.75" customHeight="1" x14ac:dyDescent="0.2"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4:16" ht="12.75" customHeight="1" x14ac:dyDescent="0.2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4:16" ht="12.75" customHeight="1" x14ac:dyDescent="0.2"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4:16" ht="12.75" customHeight="1" x14ac:dyDescent="0.2"/>
    <row r="85" spans="4:16" ht="12.75" customHeight="1" x14ac:dyDescent="0.2"/>
    <row r="86" spans="4:16" ht="12.75" customHeight="1" x14ac:dyDescent="0.2"/>
    <row r="87" spans="4:16" ht="12.75" customHeight="1" x14ac:dyDescent="0.2"/>
    <row r="88" spans="4:16" ht="12.75" customHeight="1" x14ac:dyDescent="0.2"/>
    <row r="89" spans="4:16" ht="12.75" customHeight="1" x14ac:dyDescent="0.2"/>
    <row r="90" spans="4:16" ht="12.75" customHeight="1" x14ac:dyDescent="0.2"/>
    <row r="91" spans="4:16" ht="12.75" customHeight="1" x14ac:dyDescent="0.2"/>
    <row r="92" spans="4:16" ht="12.75" customHeight="1" x14ac:dyDescent="0.2"/>
    <row r="93" spans="4:16" ht="12.75" customHeight="1" x14ac:dyDescent="0.2"/>
    <row r="94" spans="4:16" ht="12.75" customHeight="1" x14ac:dyDescent="0.2"/>
    <row r="95" spans="4:16" ht="12.75" customHeight="1" x14ac:dyDescent="0.2"/>
    <row r="96" spans="4:1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44">
    <mergeCell ref="M58:N58"/>
    <mergeCell ref="M56:N56"/>
    <mergeCell ref="C57:D57"/>
    <mergeCell ref="E57:F57"/>
    <mergeCell ref="G57:H57"/>
    <mergeCell ref="I57:J57"/>
    <mergeCell ref="K57:L57"/>
    <mergeCell ref="M57:N57"/>
    <mergeCell ref="C58:D58"/>
    <mergeCell ref="E58:F58"/>
    <mergeCell ref="G58:H58"/>
    <mergeCell ref="I58:J58"/>
    <mergeCell ref="K58:L58"/>
    <mergeCell ref="K55:L55"/>
    <mergeCell ref="C56:D56"/>
    <mergeCell ref="E56:F56"/>
    <mergeCell ref="G56:H56"/>
    <mergeCell ref="I56:J56"/>
    <mergeCell ref="K56:L56"/>
    <mergeCell ref="C54:D55"/>
    <mergeCell ref="E54:F55"/>
    <mergeCell ref="G54:L54"/>
    <mergeCell ref="M54:N55"/>
    <mergeCell ref="G55:H55"/>
    <mergeCell ref="C21:C22"/>
    <mergeCell ref="D21:D22"/>
    <mergeCell ref="E21:Q21"/>
    <mergeCell ref="C42:J42"/>
    <mergeCell ref="C43:D43"/>
    <mergeCell ref="E43:F43"/>
    <mergeCell ref="G43:H43"/>
    <mergeCell ref="I43:J43"/>
    <mergeCell ref="C44:D44"/>
    <mergeCell ref="E44:F44"/>
    <mergeCell ref="G44:H44"/>
    <mergeCell ref="I44:J44"/>
    <mergeCell ref="C53:N53"/>
    <mergeCell ref="I55:J55"/>
    <mergeCell ref="C3:Q4"/>
    <mergeCell ref="D5:Q5"/>
    <mergeCell ref="C6:C7"/>
    <mergeCell ref="D6:D7"/>
    <mergeCell ref="E6:P6"/>
    <mergeCell ref="Q6:Q7"/>
  </mergeCells>
  <pageMargins left="0.7" right="0.7" top="0.75" bottom="0.75" header="0" footer="0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B8420-9F20-4ABE-88E8-A2DB8CD59B7B}">
  <dimension ref="A1:AA1001"/>
  <sheetViews>
    <sheetView showGridLines="0" topLeftCell="I16" zoomScale="50" zoomScaleNormal="50" workbookViewId="0">
      <selection activeCell="D24" sqref="D24"/>
    </sheetView>
  </sheetViews>
  <sheetFormatPr defaultColWidth="14.42578125" defaultRowHeight="15" customHeight="1" x14ac:dyDescent="0.2"/>
  <cols>
    <col min="1" max="2" width="8" customWidth="1"/>
    <col min="3" max="3" width="138.28515625" customWidth="1"/>
    <col min="4" max="17" width="29.7109375" customWidth="1"/>
    <col min="18" max="18" width="8" customWidth="1"/>
    <col min="19" max="19" width="25.85546875" customWidth="1"/>
    <col min="20" max="27" width="8" customWidth="1"/>
  </cols>
  <sheetData>
    <row r="1" spans="1:27" ht="83.25" customHeight="1" x14ac:dyDescent="0.2"/>
    <row r="2" spans="1:27" ht="13.5" customHeight="1" x14ac:dyDescent="0.2"/>
    <row r="3" spans="1:27" ht="37.5" customHeight="1" x14ac:dyDescent="0.2">
      <c r="C3" s="44" t="s">
        <v>0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</row>
    <row r="4" spans="1:27" ht="37.5" customHeight="1" x14ac:dyDescent="0.2"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9"/>
    </row>
    <row r="5" spans="1:27" ht="69.75" customHeight="1" x14ac:dyDescent="0.2">
      <c r="A5" s="1"/>
      <c r="B5" s="1"/>
      <c r="C5" s="26"/>
      <c r="D5" s="86" t="s">
        <v>63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48" customHeight="1" x14ac:dyDescent="0.2">
      <c r="C6" s="53" t="s">
        <v>1</v>
      </c>
      <c r="D6" s="53" t="s">
        <v>2</v>
      </c>
      <c r="E6" s="55" t="s">
        <v>3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2"/>
      <c r="Q6" s="53" t="s">
        <v>4</v>
      </c>
    </row>
    <row r="7" spans="1:27" ht="60.75" customHeight="1" x14ac:dyDescent="0.2">
      <c r="A7" s="2"/>
      <c r="B7" s="2"/>
      <c r="C7" s="54"/>
      <c r="D7" s="54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70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73</v>
      </c>
      <c r="P7" s="3" t="s">
        <v>15</v>
      </c>
      <c r="Q7" s="54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41.25" customHeight="1" x14ac:dyDescent="0.4">
      <c r="A8" s="4"/>
      <c r="B8" s="4"/>
      <c r="C8" s="28" t="s">
        <v>16</v>
      </c>
      <c r="D8" s="6"/>
      <c r="E8" s="5">
        <v>870</v>
      </c>
      <c r="F8" s="5">
        <v>1640</v>
      </c>
      <c r="G8" s="5">
        <v>1200</v>
      </c>
      <c r="H8" s="5">
        <v>1170</v>
      </c>
      <c r="I8" s="5">
        <v>690</v>
      </c>
      <c r="J8" s="5">
        <v>20</v>
      </c>
      <c r="K8" s="5">
        <v>600</v>
      </c>
      <c r="L8" s="5">
        <v>520</v>
      </c>
      <c r="M8" s="5">
        <v>210</v>
      </c>
      <c r="N8" s="5">
        <v>280</v>
      </c>
      <c r="O8" s="5">
        <v>340</v>
      </c>
      <c r="P8" s="5">
        <v>163.4</v>
      </c>
      <c r="Q8" s="27">
        <f t="shared" ref="Q8:Q19" si="0">SUM(D8:P8)</f>
        <v>7703.4</v>
      </c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41.25" customHeight="1" x14ac:dyDescent="0.4">
      <c r="A9" s="4"/>
      <c r="B9" s="4"/>
      <c r="C9" s="28" t="s">
        <v>17</v>
      </c>
      <c r="D9" s="6"/>
      <c r="E9" s="5">
        <v>5511.18</v>
      </c>
      <c r="F9" s="5">
        <v>13380.39</v>
      </c>
      <c r="G9" s="5">
        <v>11053.27</v>
      </c>
      <c r="H9" s="5">
        <v>9294.01</v>
      </c>
      <c r="I9" s="5">
        <v>6297.96</v>
      </c>
      <c r="J9" s="5">
        <v>4093.52</v>
      </c>
      <c r="K9" s="5">
        <v>6139.31</v>
      </c>
      <c r="L9" s="5">
        <v>5617.21</v>
      </c>
      <c r="M9" s="5">
        <v>1266.23</v>
      </c>
      <c r="N9" s="5">
        <v>0</v>
      </c>
      <c r="O9" s="5">
        <v>1141.6099999999999</v>
      </c>
      <c r="P9" s="5">
        <v>1386.75</v>
      </c>
      <c r="Q9" s="27">
        <f t="shared" si="0"/>
        <v>65181.439999999995</v>
      </c>
      <c r="R9" s="4" t="s">
        <v>18</v>
      </c>
      <c r="S9" s="4"/>
      <c r="T9" s="4"/>
      <c r="U9" s="4"/>
      <c r="V9" s="4"/>
      <c r="W9" s="4"/>
      <c r="X9" s="4"/>
      <c r="Y9" s="4"/>
      <c r="Z9" s="4"/>
      <c r="AA9" s="4"/>
    </row>
    <row r="10" spans="1:27" ht="41.25" customHeight="1" x14ac:dyDescent="0.4">
      <c r="A10" s="4"/>
      <c r="B10" s="4"/>
      <c r="C10" s="28" t="s">
        <v>19</v>
      </c>
      <c r="D10" s="6"/>
      <c r="E10" s="5">
        <v>-4949.16</v>
      </c>
      <c r="F10" s="5">
        <v>-1258.3800000000001</v>
      </c>
      <c r="G10" s="5">
        <v>-3741.35</v>
      </c>
      <c r="H10" s="5">
        <v>-1098.1400000000001</v>
      </c>
      <c r="I10" s="5">
        <v>23.54</v>
      </c>
      <c r="J10" s="5">
        <v>-3310.04</v>
      </c>
      <c r="K10" s="5">
        <v>0</v>
      </c>
      <c r="L10" s="5">
        <v>-3013.63</v>
      </c>
      <c r="M10" s="5">
        <v>-0.53</v>
      </c>
      <c r="N10" s="5">
        <v>0</v>
      </c>
      <c r="O10" s="5">
        <v>-20</v>
      </c>
      <c r="P10" s="5">
        <v>0</v>
      </c>
      <c r="Q10" s="27">
        <f t="shared" si="0"/>
        <v>-17367.689999999999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41.25" customHeight="1" x14ac:dyDescent="0.4">
      <c r="A11" s="4"/>
      <c r="B11" s="4"/>
      <c r="C11" s="28" t="s">
        <v>20</v>
      </c>
      <c r="D11" s="6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27">
        <f t="shared" si="0"/>
        <v>0</v>
      </c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41.25" customHeight="1" x14ac:dyDescent="0.4">
      <c r="A12" s="4"/>
      <c r="B12" s="4"/>
      <c r="C12" s="39" t="s">
        <v>65</v>
      </c>
      <c r="D12" s="6">
        <f>2.81+25.17</f>
        <v>27.98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27">
        <f t="shared" si="0"/>
        <v>27.98</v>
      </c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41.25" customHeight="1" x14ac:dyDescent="0.4">
      <c r="A13" s="4"/>
      <c r="B13" s="4"/>
      <c r="C13" s="39" t="s">
        <v>54</v>
      </c>
      <c r="D13" s="5">
        <f>0.53+0.96+1.28+28.23+3.39+13.45</f>
        <v>47.84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27">
        <f t="shared" si="0"/>
        <v>47.84</v>
      </c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41.25" customHeight="1" x14ac:dyDescent="0.4">
      <c r="A14" s="4"/>
      <c r="B14" s="4"/>
      <c r="C14" s="28" t="s">
        <v>21</v>
      </c>
      <c r="D14" s="6"/>
      <c r="E14" s="5">
        <v>0</v>
      </c>
      <c r="F14" s="7">
        <v>0</v>
      </c>
      <c r="G14" s="6">
        <v>0</v>
      </c>
      <c r="H14" s="6">
        <v>0</v>
      </c>
      <c r="I14" s="6">
        <v>0</v>
      </c>
      <c r="J14" s="7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27">
        <f t="shared" si="0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41.25" customHeight="1" x14ac:dyDescent="0.4">
      <c r="A15" s="4"/>
      <c r="B15" s="4"/>
      <c r="C15" s="39" t="s">
        <v>22</v>
      </c>
      <c r="D15" s="6"/>
      <c r="E15" s="5">
        <v>0</v>
      </c>
      <c r="F15" s="7">
        <v>0</v>
      </c>
      <c r="G15" s="6">
        <v>0</v>
      </c>
      <c r="H15" s="6">
        <v>0</v>
      </c>
      <c r="I15" s="6">
        <v>0</v>
      </c>
      <c r="J15" s="7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27">
        <f t="shared" si="0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41.25" customHeight="1" x14ac:dyDescent="0.4">
      <c r="A16" s="4"/>
      <c r="B16" s="4"/>
      <c r="C16" s="39" t="s">
        <v>66</v>
      </c>
      <c r="D16" s="5"/>
      <c r="E16" s="5">
        <v>690</v>
      </c>
      <c r="F16" s="5">
        <v>770</v>
      </c>
      <c r="G16" s="5">
        <v>1039.9000000000001</v>
      </c>
      <c r="H16" s="5">
        <v>550</v>
      </c>
      <c r="I16" s="7">
        <v>335</v>
      </c>
      <c r="J16" s="7">
        <v>160</v>
      </c>
      <c r="K16" s="5">
        <v>630</v>
      </c>
      <c r="L16" s="5">
        <v>180</v>
      </c>
      <c r="M16" s="5">
        <v>30</v>
      </c>
      <c r="N16" s="5">
        <v>0</v>
      </c>
      <c r="O16" s="5">
        <v>0</v>
      </c>
      <c r="P16" s="7">
        <v>150</v>
      </c>
      <c r="Q16" s="27">
        <f t="shared" si="0"/>
        <v>4534.8999999999996</v>
      </c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41.25" customHeight="1" x14ac:dyDescent="0.4">
      <c r="A17" s="4"/>
      <c r="B17" s="4"/>
      <c r="C17" s="28" t="s">
        <v>23</v>
      </c>
      <c r="D17" s="5"/>
      <c r="E17" s="5">
        <f>2681.21+49.86</f>
        <v>2731.07</v>
      </c>
      <c r="F17" s="5">
        <f>144.95-1152.6</f>
        <v>-1007.6499999999999</v>
      </c>
      <c r="G17" s="5">
        <f>4500+57.06-811.56-94.04</f>
        <v>3651.4600000000005</v>
      </c>
      <c r="H17" s="5">
        <f>663.04+69.93-86.63</f>
        <v>646.34</v>
      </c>
      <c r="I17" s="7">
        <v>375.68</v>
      </c>
      <c r="J17" s="7">
        <v>204.71</v>
      </c>
      <c r="K17" s="5">
        <v>0</v>
      </c>
      <c r="L17" s="5">
        <v>280.66000000000003</v>
      </c>
      <c r="M17" s="5">
        <v>15</v>
      </c>
      <c r="N17" s="5">
        <v>465</v>
      </c>
      <c r="O17" s="5">
        <v>0</v>
      </c>
      <c r="P17" s="7">
        <f>100-0.1</f>
        <v>99.9</v>
      </c>
      <c r="Q17" s="27">
        <f t="shared" si="0"/>
        <v>7462.170000000001</v>
      </c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41.25" customHeight="1" x14ac:dyDescent="0.4">
      <c r="A18" s="4"/>
      <c r="B18" s="4"/>
      <c r="C18" s="29" t="s">
        <v>50</v>
      </c>
      <c r="D18" s="6"/>
      <c r="E18" s="5">
        <v>0</v>
      </c>
      <c r="F18" s="5">
        <v>0</v>
      </c>
      <c r="G18" s="5">
        <v>0</v>
      </c>
      <c r="H18" s="6">
        <v>0</v>
      </c>
      <c r="I18" s="7">
        <v>0</v>
      </c>
      <c r="J18" s="7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27">
        <f t="shared" si="0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41.25" customHeight="1" x14ac:dyDescent="0.4">
      <c r="A19" s="4"/>
      <c r="B19" s="4"/>
      <c r="C19" s="30" t="s">
        <v>24</v>
      </c>
      <c r="D19" s="7"/>
      <c r="E19" s="5">
        <v>95.81</v>
      </c>
      <c r="F19" s="5">
        <v>-1192.3</v>
      </c>
      <c r="G19" s="5">
        <v>-543.28</v>
      </c>
      <c r="H19" s="5">
        <v>-110.48</v>
      </c>
      <c r="I19" s="5">
        <v>63.22</v>
      </c>
      <c r="J19" s="6">
        <v>-873.4</v>
      </c>
      <c r="K19" s="6">
        <v>0</v>
      </c>
      <c r="L19" s="5">
        <v>-961.84</v>
      </c>
      <c r="M19" s="7">
        <v>-40</v>
      </c>
      <c r="N19" s="6">
        <v>-745</v>
      </c>
      <c r="O19" s="6">
        <v>0</v>
      </c>
      <c r="P19" s="7">
        <v>-0.05</v>
      </c>
      <c r="Q19" s="27">
        <f t="shared" si="0"/>
        <v>-4307.3200000000006</v>
      </c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59.25" customHeight="1" x14ac:dyDescent="0.2">
      <c r="A20" s="1"/>
      <c r="B20" s="1"/>
      <c r="C20" s="31" t="s">
        <v>25</v>
      </c>
      <c r="D20" s="8">
        <f t="shared" ref="D20:Q20" si="1">SUM(D8:D19)</f>
        <v>75.820000000000007</v>
      </c>
      <c r="E20" s="8">
        <f t="shared" si="1"/>
        <v>4948.9000000000005</v>
      </c>
      <c r="F20" s="8">
        <f t="shared" si="1"/>
        <v>12332.06</v>
      </c>
      <c r="G20" s="8">
        <f t="shared" si="1"/>
        <v>12660</v>
      </c>
      <c r="H20" s="8">
        <f t="shared" si="1"/>
        <v>10451.730000000001</v>
      </c>
      <c r="I20" s="8">
        <f t="shared" si="1"/>
        <v>7785.4000000000005</v>
      </c>
      <c r="J20" s="8">
        <f t="shared" si="1"/>
        <v>294.79000000000053</v>
      </c>
      <c r="K20" s="8">
        <f t="shared" si="1"/>
        <v>7369.31</v>
      </c>
      <c r="L20" s="8">
        <f t="shared" si="1"/>
        <v>2622.3999999999996</v>
      </c>
      <c r="M20" s="8">
        <f t="shared" si="1"/>
        <v>1480.7</v>
      </c>
      <c r="N20" s="8">
        <f t="shared" si="1"/>
        <v>0</v>
      </c>
      <c r="O20" s="8">
        <f t="shared" si="1"/>
        <v>1461.61</v>
      </c>
      <c r="P20" s="8">
        <f t="shared" si="1"/>
        <v>1800.0000000000002</v>
      </c>
      <c r="Q20" s="8">
        <f t="shared" si="1"/>
        <v>63282.719999999994</v>
      </c>
      <c r="R20" s="1"/>
      <c r="S20" s="32"/>
      <c r="T20" s="1"/>
      <c r="U20" s="1"/>
      <c r="V20" s="1"/>
      <c r="W20" s="1"/>
      <c r="X20" s="1"/>
      <c r="Y20" s="1"/>
      <c r="Z20" s="1"/>
      <c r="AA20" s="1"/>
    </row>
    <row r="21" spans="1:27" ht="30" customHeight="1" x14ac:dyDescent="0.2">
      <c r="C21" s="53" t="s">
        <v>26</v>
      </c>
      <c r="D21" s="60" t="s">
        <v>2</v>
      </c>
      <c r="E21" s="6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2"/>
    </row>
    <row r="22" spans="1:27" ht="75.75" customHeight="1" x14ac:dyDescent="0.2">
      <c r="C22" s="54"/>
      <c r="D22" s="54"/>
      <c r="E22" s="21" t="s">
        <v>5</v>
      </c>
      <c r="F22" s="3" t="s">
        <v>6</v>
      </c>
      <c r="G22" s="3" t="s">
        <v>7</v>
      </c>
      <c r="H22" s="3" t="s">
        <v>8</v>
      </c>
      <c r="I22" s="3" t="s">
        <v>9</v>
      </c>
      <c r="J22" s="21" t="s">
        <v>70</v>
      </c>
      <c r="K22" s="3" t="s">
        <v>11</v>
      </c>
      <c r="L22" s="3" t="s">
        <v>12</v>
      </c>
      <c r="M22" s="3" t="s">
        <v>13</v>
      </c>
      <c r="N22" s="3" t="s">
        <v>14</v>
      </c>
      <c r="O22" s="3" t="s">
        <v>73</v>
      </c>
      <c r="P22" s="3" t="s">
        <v>15</v>
      </c>
      <c r="Q22" s="16" t="s">
        <v>4</v>
      </c>
    </row>
    <row r="23" spans="1:27" ht="41.25" customHeight="1" x14ac:dyDescent="0.2">
      <c r="A23" s="9"/>
      <c r="B23" s="9"/>
      <c r="C23" s="33" t="s">
        <v>27</v>
      </c>
      <c r="D23" s="22">
        <f>(247.12+71.5+500+74.5+1825+1572.5+115.7+72.24+218+44.8+582.5+54+349+468+552+785.8+856.3+93.2+147.6+240+459.78+30+39+212.3+250+456.9)+(236.35+1584.75+341.5+1093.5+269.75+716+363.21+44+420+256.05+2563+128+399+688.2+487+65+3207.82+310.5+230+2329.5+2338.7+3097.5+58+140)</f>
        <v>31685.07</v>
      </c>
      <c r="E23" s="5">
        <v>4538.8999999999996</v>
      </c>
      <c r="F23" s="7">
        <f>9961.61+697.2+663.25</f>
        <v>11322.060000000001</v>
      </c>
      <c r="G23" s="5">
        <v>0</v>
      </c>
      <c r="H23" s="6">
        <v>2821.5</v>
      </c>
      <c r="I23" s="7">
        <v>0</v>
      </c>
      <c r="J23" s="5">
        <v>165.79</v>
      </c>
      <c r="K23" s="6">
        <f>3048+4001.31</f>
        <v>7049.3099999999995</v>
      </c>
      <c r="L23" s="5">
        <f>795.4+1507</f>
        <v>2302.4</v>
      </c>
      <c r="M23" s="6">
        <v>0</v>
      </c>
      <c r="N23" s="5">
        <v>0</v>
      </c>
      <c r="O23" s="5">
        <v>373.35</v>
      </c>
      <c r="P23" s="6">
        <v>0</v>
      </c>
      <c r="Q23" s="34">
        <f t="shared" ref="Q23:Q34" si="2">SUM(D23:P23)</f>
        <v>60258.38</v>
      </c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41.25" customHeight="1" x14ac:dyDescent="0.2">
      <c r="A24" s="9"/>
      <c r="B24" s="9"/>
      <c r="C24" s="28" t="s">
        <v>28</v>
      </c>
      <c r="D24" s="36"/>
      <c r="E24" s="5">
        <v>410</v>
      </c>
      <c r="F24" s="5">
        <v>1010</v>
      </c>
      <c r="G24" s="5">
        <v>0</v>
      </c>
      <c r="H24" s="5">
        <v>1010.09</v>
      </c>
      <c r="I24" s="5">
        <v>885.4</v>
      </c>
      <c r="J24" s="5">
        <v>0</v>
      </c>
      <c r="K24" s="5">
        <v>320</v>
      </c>
      <c r="L24" s="5">
        <v>320</v>
      </c>
      <c r="M24" s="5">
        <v>230</v>
      </c>
      <c r="N24" s="5">
        <v>0</v>
      </c>
      <c r="O24" s="5">
        <v>320</v>
      </c>
      <c r="P24" s="5">
        <v>100</v>
      </c>
      <c r="Q24" s="34">
        <f t="shared" si="2"/>
        <v>4605.49</v>
      </c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40.5" customHeight="1" x14ac:dyDescent="0.2">
      <c r="A25" s="9"/>
      <c r="B25" s="9"/>
      <c r="C25" s="28" t="s">
        <v>29</v>
      </c>
      <c r="D25" s="36">
        <f>740+529.21+240+1040</f>
        <v>2549.21</v>
      </c>
      <c r="E25" s="5">
        <v>0</v>
      </c>
      <c r="F25" s="5">
        <v>0</v>
      </c>
      <c r="G25" s="5">
        <v>660</v>
      </c>
      <c r="H25" s="6">
        <v>0</v>
      </c>
      <c r="I25" s="6">
        <v>0</v>
      </c>
      <c r="J25" s="5">
        <v>129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34">
        <f t="shared" si="2"/>
        <v>3338.21</v>
      </c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41.25" customHeight="1" x14ac:dyDescent="0.2">
      <c r="A26" s="9"/>
      <c r="B26" s="9"/>
      <c r="C26" s="28" t="s">
        <v>30</v>
      </c>
      <c r="D26" s="23"/>
      <c r="E26" s="5">
        <v>0</v>
      </c>
      <c r="F26" s="6">
        <v>0</v>
      </c>
      <c r="G26" s="5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34">
        <f t="shared" si="2"/>
        <v>0</v>
      </c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41.25" customHeight="1" x14ac:dyDescent="0.2">
      <c r="A27" s="9"/>
      <c r="B27" s="9"/>
      <c r="C27" s="30" t="s">
        <v>51</v>
      </c>
      <c r="D27" s="22">
        <v>600</v>
      </c>
      <c r="E27" s="6">
        <v>0</v>
      </c>
      <c r="F27" s="7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34">
        <f t="shared" si="2"/>
        <v>600</v>
      </c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41.25" customHeight="1" x14ac:dyDescent="0.2">
      <c r="A28" s="9"/>
      <c r="B28" s="9"/>
      <c r="C28" s="29" t="s">
        <v>48</v>
      </c>
      <c r="D28" s="23"/>
      <c r="E28" s="6">
        <v>0</v>
      </c>
      <c r="F28" s="5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34">
        <f t="shared" si="2"/>
        <v>0</v>
      </c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41.25" customHeight="1" x14ac:dyDescent="0.2">
      <c r="A29" s="9"/>
      <c r="B29" s="9"/>
      <c r="C29" s="28" t="s">
        <v>31</v>
      </c>
      <c r="D29" s="22">
        <f>(250+250+500)+(1200+350+1150)</f>
        <v>3700</v>
      </c>
      <c r="E29" s="6">
        <v>0</v>
      </c>
      <c r="F29" s="6">
        <v>0</v>
      </c>
      <c r="G29" s="5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34">
        <f t="shared" si="2"/>
        <v>3700</v>
      </c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41.25" customHeight="1" x14ac:dyDescent="0.2">
      <c r="A30" s="9"/>
      <c r="B30" s="9"/>
      <c r="C30" s="39" t="s">
        <v>32</v>
      </c>
      <c r="D30" s="22">
        <v>41.9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34">
        <f t="shared" si="2"/>
        <v>41.9</v>
      </c>
      <c r="R30" s="9"/>
      <c r="S30" s="10"/>
      <c r="T30" s="9"/>
      <c r="U30" s="9"/>
      <c r="V30" s="9"/>
      <c r="W30" s="9"/>
      <c r="X30" s="9"/>
      <c r="Y30" s="9"/>
      <c r="Z30" s="9"/>
      <c r="AA30" s="9"/>
    </row>
    <row r="31" spans="1:27" ht="41.25" customHeight="1" x14ac:dyDescent="0.2">
      <c r="A31" s="9"/>
      <c r="B31" s="9"/>
      <c r="C31" s="39" t="s">
        <v>55</v>
      </c>
      <c r="D31" s="22">
        <f>1.2*4</f>
        <v>4.8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34">
        <f t="shared" si="2"/>
        <v>4.8</v>
      </c>
      <c r="R31" s="9"/>
      <c r="S31" s="10"/>
      <c r="T31" s="9"/>
      <c r="U31" s="9"/>
      <c r="V31" s="9"/>
      <c r="W31" s="9"/>
      <c r="X31" s="9"/>
      <c r="Y31" s="9"/>
      <c r="Z31" s="9"/>
      <c r="AA31" s="9"/>
    </row>
    <row r="32" spans="1:27" ht="41.25" customHeight="1" x14ac:dyDescent="0.2">
      <c r="A32" s="9"/>
      <c r="B32" s="9"/>
      <c r="C32" s="39" t="s">
        <v>33</v>
      </c>
      <c r="D32" s="22">
        <v>2.86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34">
        <f t="shared" si="2"/>
        <v>2.86</v>
      </c>
      <c r="R32" s="9"/>
      <c r="S32" s="10"/>
      <c r="T32" s="9"/>
      <c r="U32" s="9"/>
      <c r="V32" s="9"/>
      <c r="W32" s="9"/>
      <c r="X32" s="9"/>
      <c r="Y32" s="9"/>
      <c r="Z32" s="9"/>
      <c r="AA32" s="9"/>
    </row>
    <row r="33" spans="1:27" ht="41.25" customHeight="1" x14ac:dyDescent="0.2">
      <c r="A33" s="9"/>
      <c r="B33" s="9"/>
      <c r="C33" s="30" t="s">
        <v>49</v>
      </c>
      <c r="D33" s="22">
        <v>0</v>
      </c>
      <c r="E33" s="6">
        <v>0</v>
      </c>
      <c r="F33" s="6">
        <v>0</v>
      </c>
      <c r="G33" s="5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34">
        <f t="shared" si="2"/>
        <v>0</v>
      </c>
      <c r="R33" s="9"/>
      <c r="S33" s="10"/>
      <c r="T33" s="9"/>
      <c r="U33" s="9"/>
      <c r="V33" s="9"/>
      <c r="W33" s="9"/>
      <c r="X33" s="9"/>
      <c r="Y33" s="9"/>
      <c r="Z33" s="9"/>
      <c r="AA33" s="9"/>
    </row>
    <row r="34" spans="1:27" ht="41.25" customHeight="1" x14ac:dyDescent="0.2">
      <c r="A34" s="9"/>
      <c r="B34" s="9"/>
      <c r="C34" s="11" t="s">
        <v>34</v>
      </c>
      <c r="D34" s="23">
        <v>0</v>
      </c>
      <c r="E34" s="5">
        <v>0</v>
      </c>
      <c r="F34" s="7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34">
        <f t="shared" si="2"/>
        <v>0</v>
      </c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60.75" customHeight="1" x14ac:dyDescent="0.2">
      <c r="A35" s="12"/>
      <c r="B35" s="12"/>
      <c r="C35" s="31" t="s">
        <v>35</v>
      </c>
      <c r="D35" s="13">
        <f t="shared" ref="D35:Q35" si="3">SUM(D23:D34)</f>
        <v>38583.840000000004</v>
      </c>
      <c r="E35" s="13">
        <f t="shared" si="3"/>
        <v>4948.8999999999996</v>
      </c>
      <c r="F35" s="13">
        <f t="shared" si="3"/>
        <v>12332.060000000001</v>
      </c>
      <c r="G35" s="13">
        <f t="shared" si="3"/>
        <v>660</v>
      </c>
      <c r="H35" s="13">
        <f t="shared" si="3"/>
        <v>3831.59</v>
      </c>
      <c r="I35" s="13">
        <f t="shared" si="3"/>
        <v>885.4</v>
      </c>
      <c r="J35" s="13">
        <f t="shared" si="3"/>
        <v>294.78999999999996</v>
      </c>
      <c r="K35" s="13">
        <f t="shared" si="3"/>
        <v>7369.3099999999995</v>
      </c>
      <c r="L35" s="13">
        <f t="shared" si="3"/>
        <v>2622.4</v>
      </c>
      <c r="M35" s="13">
        <f t="shared" si="3"/>
        <v>230</v>
      </c>
      <c r="N35" s="13">
        <f t="shared" si="3"/>
        <v>0</v>
      </c>
      <c r="O35" s="13">
        <f t="shared" si="3"/>
        <v>693.35</v>
      </c>
      <c r="P35" s="13">
        <f t="shared" si="3"/>
        <v>100</v>
      </c>
      <c r="Q35" s="13">
        <f t="shared" si="3"/>
        <v>72551.64</v>
      </c>
      <c r="R35" s="12"/>
      <c r="S35" s="14"/>
      <c r="T35" s="12"/>
      <c r="U35" s="12"/>
      <c r="V35" s="12"/>
      <c r="W35" s="12"/>
      <c r="X35" s="12"/>
      <c r="Y35" s="12"/>
      <c r="Z35" s="12"/>
      <c r="AA35" s="12"/>
    </row>
    <row r="36" spans="1:27" ht="59.25" customHeight="1" x14ac:dyDescent="0.2">
      <c r="A36" s="1"/>
      <c r="B36" s="1"/>
      <c r="C36" s="38" t="s">
        <v>36</v>
      </c>
      <c r="D36" s="15"/>
      <c r="E36" s="15">
        <f t="shared" ref="E36:Q36" si="4">E20-E35</f>
        <v>0</v>
      </c>
      <c r="F36" s="15">
        <f t="shared" si="4"/>
        <v>0</v>
      </c>
      <c r="G36" s="15">
        <f t="shared" si="4"/>
        <v>12000</v>
      </c>
      <c r="H36" s="15">
        <f t="shared" si="4"/>
        <v>6620.1400000000012</v>
      </c>
      <c r="I36" s="15">
        <f t="shared" si="4"/>
        <v>6900.0000000000009</v>
      </c>
      <c r="J36" s="15">
        <f t="shared" si="4"/>
        <v>5.6843418860808015E-13</v>
      </c>
      <c r="K36" s="15">
        <f t="shared" si="4"/>
        <v>0</v>
      </c>
      <c r="L36" s="15">
        <f t="shared" si="4"/>
        <v>0</v>
      </c>
      <c r="M36" s="15">
        <f t="shared" si="4"/>
        <v>1250.7</v>
      </c>
      <c r="N36" s="15">
        <f t="shared" si="4"/>
        <v>0</v>
      </c>
      <c r="O36" s="15">
        <f t="shared" si="4"/>
        <v>768.25999999999988</v>
      </c>
      <c r="P36" s="15">
        <f t="shared" si="4"/>
        <v>1700.0000000000002</v>
      </c>
      <c r="Q36" s="15">
        <f t="shared" si="4"/>
        <v>-9268.9200000000055</v>
      </c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44.25" customHeight="1" x14ac:dyDescent="0.2">
      <c r="A37" s="1"/>
      <c r="B37" s="1"/>
      <c r="C37" s="35" t="s">
        <v>52</v>
      </c>
      <c r="D37" s="17"/>
      <c r="E37" s="17">
        <v>0</v>
      </c>
      <c r="F37" s="17">
        <v>0</v>
      </c>
      <c r="G37" s="25">
        <f>7500+4500</f>
        <v>12000</v>
      </c>
      <c r="H37" s="24">
        <f>3610.18+3009.96</f>
        <v>6620.1399999999994</v>
      </c>
      <c r="I37" s="24">
        <v>6900</v>
      </c>
      <c r="J37" s="25">
        <v>0</v>
      </c>
      <c r="K37" s="25">
        <v>0</v>
      </c>
      <c r="L37" s="25">
        <v>0</v>
      </c>
      <c r="M37" s="24">
        <v>1250.7</v>
      </c>
      <c r="N37" s="24">
        <v>0</v>
      </c>
      <c r="O37" s="24">
        <f>694.26+74</f>
        <v>768.26</v>
      </c>
      <c r="P37" s="25">
        <v>1700</v>
      </c>
      <c r="Q37" s="17">
        <f>SUM(E37:P37)</f>
        <v>29239.1</v>
      </c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40.5" customHeight="1" x14ac:dyDescent="0.45"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27" ht="12.75" customHeight="1" x14ac:dyDescent="0.2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27" ht="12.75" customHeight="1" x14ac:dyDescent="0.2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27" ht="13.5" customHeight="1" thickBot="1" x14ac:dyDescent="0.25"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27" ht="45" customHeight="1" x14ac:dyDescent="0.2">
      <c r="C42" s="62" t="s">
        <v>37</v>
      </c>
      <c r="D42" s="63"/>
      <c r="E42" s="63"/>
      <c r="F42" s="63"/>
      <c r="G42" s="63"/>
      <c r="H42" s="63"/>
      <c r="I42" s="63"/>
      <c r="J42" s="64"/>
      <c r="K42" s="19"/>
      <c r="L42" s="19"/>
      <c r="M42" s="19"/>
    </row>
    <row r="43" spans="1:27" ht="34.5" customHeight="1" x14ac:dyDescent="0.2">
      <c r="C43" s="65" t="s">
        <v>38</v>
      </c>
      <c r="D43" s="52"/>
      <c r="E43" s="66">
        <v>0.03</v>
      </c>
      <c r="F43" s="52"/>
      <c r="G43" s="66">
        <v>0.02</v>
      </c>
      <c r="H43" s="52"/>
      <c r="I43" s="59" t="s">
        <v>4</v>
      </c>
      <c r="J43" s="67"/>
      <c r="K43" s="19"/>
      <c r="L43" s="19"/>
      <c r="M43" s="19"/>
    </row>
    <row r="44" spans="1:27" ht="36" customHeight="1" thickBot="1" x14ac:dyDescent="0.25">
      <c r="C44" s="68" t="s">
        <v>39</v>
      </c>
      <c r="D44" s="69"/>
      <c r="E44" s="70">
        <f>Q9*0.03</f>
        <v>1955.4431999999997</v>
      </c>
      <c r="F44" s="69"/>
      <c r="G44" s="70">
        <f>Q9*0.02</f>
        <v>1303.6288</v>
      </c>
      <c r="H44" s="69"/>
      <c r="I44" s="71">
        <f>SUM(E44:H44)</f>
        <v>3259.0719999999997</v>
      </c>
      <c r="J44" s="72"/>
      <c r="K44" s="19"/>
      <c r="L44" s="19"/>
      <c r="M44" s="19"/>
    </row>
    <row r="45" spans="1:27" ht="12.75" customHeight="1" x14ac:dyDescent="0.2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27" ht="12.75" customHeight="1" x14ac:dyDescent="0.2"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27" ht="12.75" customHeight="1" x14ac:dyDescent="0.2"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27" ht="12.75" customHeight="1" x14ac:dyDescent="0.2"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3:18" ht="12.75" customHeight="1" x14ac:dyDescent="0.2"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3:18" ht="12.75" customHeight="1" x14ac:dyDescent="0.2"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3:18" ht="12.75" customHeight="1" x14ac:dyDescent="0.2"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3:18" ht="13.5" customHeight="1" thickBot="1" x14ac:dyDescent="0.25"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3:18" ht="59.25" customHeight="1" x14ac:dyDescent="0.2">
      <c r="C53" s="62" t="s">
        <v>40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4"/>
      <c r="O53" s="43"/>
      <c r="P53" s="19"/>
    </row>
    <row r="54" spans="3:18" ht="59.25" customHeight="1" x14ac:dyDescent="0.2">
      <c r="C54" s="79" t="s">
        <v>41</v>
      </c>
      <c r="D54" s="46"/>
      <c r="E54" s="56" t="s">
        <v>42</v>
      </c>
      <c r="F54" s="46"/>
      <c r="G54" s="81" t="s">
        <v>43</v>
      </c>
      <c r="H54" s="51"/>
      <c r="I54" s="51"/>
      <c r="J54" s="51"/>
      <c r="K54" s="51"/>
      <c r="L54" s="52"/>
      <c r="M54" s="56" t="s">
        <v>44</v>
      </c>
      <c r="N54" s="57"/>
      <c r="O54" s="43"/>
      <c r="P54" s="19"/>
    </row>
    <row r="55" spans="3:18" ht="41.25" customHeight="1" x14ac:dyDescent="0.2">
      <c r="C55" s="80"/>
      <c r="D55" s="49"/>
      <c r="E55" s="47"/>
      <c r="F55" s="49"/>
      <c r="G55" s="59" t="s">
        <v>45</v>
      </c>
      <c r="H55" s="52"/>
      <c r="I55" s="59" t="s">
        <v>46</v>
      </c>
      <c r="J55" s="52"/>
      <c r="K55" s="59" t="s">
        <v>36</v>
      </c>
      <c r="L55" s="52"/>
      <c r="M55" s="47"/>
      <c r="N55" s="58"/>
      <c r="O55" s="43"/>
      <c r="P55" s="19"/>
      <c r="Q55" s="19"/>
      <c r="R55" s="19"/>
    </row>
    <row r="56" spans="3:18" ht="41.25" customHeight="1" x14ac:dyDescent="0.2">
      <c r="C56" s="73" t="s">
        <v>47</v>
      </c>
      <c r="D56" s="52"/>
      <c r="E56" s="74">
        <v>6415.72</v>
      </c>
      <c r="F56" s="52"/>
      <c r="G56" s="75">
        <v>6818.76</v>
      </c>
      <c r="H56" s="52"/>
      <c r="I56" s="76">
        <v>-12861.91</v>
      </c>
      <c r="J56" s="52"/>
      <c r="K56" s="87">
        <f t="shared" ref="K56:K57" si="5">G56+I56</f>
        <v>-6043.15</v>
      </c>
      <c r="L56" s="52"/>
      <c r="M56" s="82">
        <f t="shared" ref="M56:M58" si="6">E56+K56</f>
        <v>372.57000000000062</v>
      </c>
      <c r="N56" s="67"/>
      <c r="O56" s="43"/>
      <c r="P56" s="19"/>
      <c r="Q56" s="19"/>
      <c r="R56" s="19"/>
    </row>
    <row r="57" spans="3:18" ht="41.25" customHeight="1" x14ac:dyDescent="0.2">
      <c r="C57" s="73" t="s">
        <v>53</v>
      </c>
      <c r="D57" s="52"/>
      <c r="E57" s="74">
        <v>10766.51</v>
      </c>
      <c r="F57" s="52"/>
      <c r="G57" s="75">
        <v>29637.89</v>
      </c>
      <c r="H57" s="52"/>
      <c r="I57" s="76">
        <v>-25952.13</v>
      </c>
      <c r="J57" s="52"/>
      <c r="K57" s="83">
        <f t="shared" si="5"/>
        <v>3685.7599999999984</v>
      </c>
      <c r="L57" s="52"/>
      <c r="M57" s="82">
        <f t="shared" si="6"/>
        <v>14452.269999999999</v>
      </c>
      <c r="N57" s="67"/>
      <c r="O57" s="43"/>
      <c r="P57" s="19"/>
      <c r="Q57" s="20"/>
      <c r="R57" s="19"/>
    </row>
    <row r="58" spans="3:18" ht="60.75" customHeight="1" thickBot="1" x14ac:dyDescent="0.25">
      <c r="C58" s="68" t="s">
        <v>4</v>
      </c>
      <c r="D58" s="69"/>
      <c r="E58" s="70">
        <f>SUM(E56:F57)</f>
        <v>17182.23</v>
      </c>
      <c r="F58" s="69"/>
      <c r="G58" s="70">
        <f>SUM(G56:H57)</f>
        <v>36456.65</v>
      </c>
      <c r="H58" s="69"/>
      <c r="I58" s="84">
        <f>SUM(I56:J57)</f>
        <v>-38814.04</v>
      </c>
      <c r="J58" s="69"/>
      <c r="K58" s="71">
        <f>SUM(K56:L57)</f>
        <v>-2357.3900000000012</v>
      </c>
      <c r="L58" s="69"/>
      <c r="M58" s="70">
        <f t="shared" si="6"/>
        <v>14824.839999999998</v>
      </c>
      <c r="N58" s="72"/>
      <c r="O58" s="43"/>
      <c r="P58" s="19"/>
      <c r="Q58" s="19"/>
      <c r="R58" s="19"/>
    </row>
    <row r="59" spans="3:18" ht="12.75" customHeight="1" x14ac:dyDescent="0.2"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3:18" ht="12.75" customHeight="1" x14ac:dyDescent="0.2"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3:18" ht="12.75" customHeight="1" x14ac:dyDescent="0.2"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3:18" ht="12.75" customHeight="1" x14ac:dyDescent="0.2"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3:18" ht="12.75" customHeight="1" x14ac:dyDescent="0.2"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3:18" ht="12.75" customHeight="1" x14ac:dyDescent="0.2"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4:16" ht="12.75" customHeight="1" x14ac:dyDescent="0.2"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4:16" ht="12.75" customHeight="1" x14ac:dyDescent="0.2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4:16" ht="12.75" customHeight="1" x14ac:dyDescent="0.2"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4:16" ht="12.75" customHeight="1" x14ac:dyDescent="0.2"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4:16" ht="12.75" customHeight="1" x14ac:dyDescent="0.2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4:16" ht="12.75" customHeight="1" x14ac:dyDescent="0.2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4:16" ht="12.75" customHeight="1" x14ac:dyDescent="0.2"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4:16" ht="12.75" customHeight="1" x14ac:dyDescent="0.2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4:16" ht="12.75" customHeight="1" x14ac:dyDescent="0.2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4:16" ht="12.75" customHeight="1" x14ac:dyDescent="0.2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4:16" ht="12.75" customHeight="1" x14ac:dyDescent="0.2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4:16" ht="12.75" customHeight="1" x14ac:dyDescent="0.2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4:16" ht="12.75" customHeight="1" x14ac:dyDescent="0.2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4:16" ht="12.75" customHeight="1" x14ac:dyDescent="0.2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4:16" ht="12.75" customHeight="1" x14ac:dyDescent="0.2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4:16" ht="12.75" customHeight="1" x14ac:dyDescent="0.2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4:16" ht="12.75" customHeight="1" x14ac:dyDescent="0.2"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4:16" ht="12.75" customHeight="1" x14ac:dyDescent="0.2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4:16" ht="12.75" customHeight="1" x14ac:dyDescent="0.2"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4:16" ht="12.75" customHeight="1" x14ac:dyDescent="0.2"/>
    <row r="85" spans="4:16" ht="12.75" customHeight="1" x14ac:dyDescent="0.2"/>
    <row r="86" spans="4:16" ht="12.75" customHeight="1" x14ac:dyDescent="0.2"/>
    <row r="87" spans="4:16" ht="12.75" customHeight="1" x14ac:dyDescent="0.2"/>
    <row r="88" spans="4:16" ht="12.75" customHeight="1" x14ac:dyDescent="0.2"/>
    <row r="89" spans="4:16" ht="12.75" customHeight="1" x14ac:dyDescent="0.2"/>
    <row r="90" spans="4:16" ht="12.75" customHeight="1" x14ac:dyDescent="0.2"/>
    <row r="91" spans="4:16" ht="12.75" customHeight="1" x14ac:dyDescent="0.2"/>
    <row r="92" spans="4:16" ht="12.75" customHeight="1" x14ac:dyDescent="0.2"/>
    <row r="93" spans="4:16" ht="12.75" customHeight="1" x14ac:dyDescent="0.2"/>
    <row r="94" spans="4:16" ht="12.75" customHeight="1" x14ac:dyDescent="0.2"/>
    <row r="95" spans="4:16" ht="12.75" customHeight="1" x14ac:dyDescent="0.2"/>
    <row r="96" spans="4:1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44">
    <mergeCell ref="M58:N58"/>
    <mergeCell ref="M56:N56"/>
    <mergeCell ref="C57:D57"/>
    <mergeCell ref="E57:F57"/>
    <mergeCell ref="G57:H57"/>
    <mergeCell ref="I57:J57"/>
    <mergeCell ref="K57:L57"/>
    <mergeCell ref="M57:N57"/>
    <mergeCell ref="C58:D58"/>
    <mergeCell ref="E58:F58"/>
    <mergeCell ref="G58:H58"/>
    <mergeCell ref="I58:J58"/>
    <mergeCell ref="K58:L58"/>
    <mergeCell ref="K55:L55"/>
    <mergeCell ref="C56:D56"/>
    <mergeCell ref="E56:F56"/>
    <mergeCell ref="G56:H56"/>
    <mergeCell ref="I56:J56"/>
    <mergeCell ref="K56:L56"/>
    <mergeCell ref="C54:D55"/>
    <mergeCell ref="E54:F55"/>
    <mergeCell ref="G54:L54"/>
    <mergeCell ref="M54:N55"/>
    <mergeCell ref="G55:H55"/>
    <mergeCell ref="C21:C22"/>
    <mergeCell ref="D21:D22"/>
    <mergeCell ref="E21:Q21"/>
    <mergeCell ref="C42:J42"/>
    <mergeCell ref="C43:D43"/>
    <mergeCell ref="E43:F43"/>
    <mergeCell ref="G43:H43"/>
    <mergeCell ref="I43:J43"/>
    <mergeCell ref="C44:D44"/>
    <mergeCell ref="E44:F44"/>
    <mergeCell ref="G44:H44"/>
    <mergeCell ref="I44:J44"/>
    <mergeCell ref="C53:N53"/>
    <mergeCell ref="I55:J55"/>
    <mergeCell ref="C3:Q4"/>
    <mergeCell ref="D5:Q5"/>
    <mergeCell ref="C6:C7"/>
    <mergeCell ref="D6:D7"/>
    <mergeCell ref="E6:P6"/>
    <mergeCell ref="Q6:Q7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622B3-485B-44CB-8BDC-6B042997EBF8}">
  <dimension ref="A1:Z1001"/>
  <sheetViews>
    <sheetView showGridLines="0" topLeftCell="F39" zoomScale="50" zoomScaleNormal="50" workbookViewId="0">
      <selection activeCell="R20" sqref="R20"/>
    </sheetView>
  </sheetViews>
  <sheetFormatPr defaultColWidth="14.42578125" defaultRowHeight="15" customHeight="1" x14ac:dyDescent="0.2"/>
  <cols>
    <col min="1" max="2" width="8" customWidth="1"/>
    <col min="3" max="3" width="138.28515625" customWidth="1"/>
    <col min="4" max="16" width="29.7109375" customWidth="1"/>
    <col min="17" max="17" width="8" customWidth="1"/>
    <col min="18" max="18" width="25.85546875" customWidth="1"/>
    <col min="19" max="26" width="8" customWidth="1"/>
  </cols>
  <sheetData>
    <row r="1" spans="1:26" ht="83.25" customHeight="1" x14ac:dyDescent="0.2"/>
    <row r="2" spans="1:26" ht="13.5" customHeight="1" x14ac:dyDescent="0.2"/>
    <row r="3" spans="1:26" ht="37.5" customHeight="1" x14ac:dyDescent="0.2">
      <c r="C3" s="44" t="s">
        <v>0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</row>
    <row r="4" spans="1:26" ht="37.5" customHeight="1" x14ac:dyDescent="0.2"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</row>
    <row r="5" spans="1:26" ht="69.75" customHeight="1" x14ac:dyDescent="0.2">
      <c r="A5" s="1"/>
      <c r="B5" s="1"/>
      <c r="C5" s="26"/>
      <c r="D5" s="86" t="s">
        <v>67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8" customHeight="1" x14ac:dyDescent="0.2">
      <c r="C6" s="53" t="s">
        <v>1</v>
      </c>
      <c r="D6" s="53" t="s">
        <v>2</v>
      </c>
      <c r="E6" s="55" t="s">
        <v>3</v>
      </c>
      <c r="F6" s="51"/>
      <c r="G6" s="51"/>
      <c r="H6" s="51"/>
      <c r="I6" s="51"/>
      <c r="J6" s="51"/>
      <c r="K6" s="51"/>
      <c r="L6" s="51"/>
      <c r="M6" s="51"/>
      <c r="N6" s="51"/>
      <c r="O6" s="52"/>
      <c r="P6" s="53" t="s">
        <v>4</v>
      </c>
    </row>
    <row r="7" spans="1:26" ht="60.75" customHeight="1" x14ac:dyDescent="0.2">
      <c r="A7" s="2"/>
      <c r="B7" s="2"/>
      <c r="C7" s="54"/>
      <c r="D7" s="54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40" t="s">
        <v>70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4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1.25" customHeight="1" x14ac:dyDescent="0.4">
      <c r="A8" s="4"/>
      <c r="B8" s="4"/>
      <c r="C8" s="28" t="s">
        <v>16</v>
      </c>
      <c r="D8" s="6"/>
      <c r="E8" s="5">
        <v>1030</v>
      </c>
      <c r="F8" s="5">
        <v>1565</v>
      </c>
      <c r="G8" s="5">
        <v>1250</v>
      </c>
      <c r="H8" s="5">
        <v>1550</v>
      </c>
      <c r="I8" s="5">
        <v>690</v>
      </c>
      <c r="J8" s="5">
        <v>0</v>
      </c>
      <c r="K8" s="5">
        <v>540</v>
      </c>
      <c r="L8" s="5">
        <v>400</v>
      </c>
      <c r="M8" s="5">
        <v>180</v>
      </c>
      <c r="N8" s="5">
        <v>280</v>
      </c>
      <c r="O8" s="5">
        <v>105</v>
      </c>
      <c r="P8" s="27">
        <f t="shared" ref="P8:P19" si="0">SUM(D8:O8)</f>
        <v>7590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41.25" customHeight="1" x14ac:dyDescent="0.4">
      <c r="A9" s="4"/>
      <c r="B9" s="4"/>
      <c r="C9" s="28" t="s">
        <v>17</v>
      </c>
      <c r="D9" s="6"/>
      <c r="E9" s="5">
        <f>2649.32+327.38+682.52+344.17-60</f>
        <v>3943.3900000000003</v>
      </c>
      <c r="F9" s="5">
        <f>14130.73-720</f>
        <v>13410.73</v>
      </c>
      <c r="G9" s="5">
        <f>7346.45+937.88+1909.72+2045.71-970</f>
        <v>11269.759999999998</v>
      </c>
      <c r="H9" s="5">
        <f>8145.85+1206.44-280</f>
        <v>9072.2900000000009</v>
      </c>
      <c r="I9" s="5">
        <f>5455.63-650+1580</f>
        <v>6385.63</v>
      </c>
      <c r="J9" s="5">
        <f>1856.68-50</f>
        <v>1806.68</v>
      </c>
      <c r="K9" s="5">
        <f>4947.4-680</f>
        <v>4267.3999999999996</v>
      </c>
      <c r="L9" s="5">
        <f>3818.09-10</f>
        <v>3808.09</v>
      </c>
      <c r="M9" s="5">
        <f>1372.36-30</f>
        <v>1342.36</v>
      </c>
      <c r="N9" s="5">
        <v>0</v>
      </c>
      <c r="O9" s="5">
        <f>1578.44-30</f>
        <v>1548.44</v>
      </c>
      <c r="P9" s="27">
        <f t="shared" si="0"/>
        <v>56854.770000000004</v>
      </c>
      <c r="Q9" s="4" t="s">
        <v>18</v>
      </c>
      <c r="R9" s="4"/>
      <c r="S9" s="4"/>
      <c r="T9" s="4"/>
      <c r="U9" s="4"/>
      <c r="V9" s="4"/>
      <c r="W9" s="4"/>
      <c r="X9" s="4"/>
      <c r="Y9" s="4"/>
      <c r="Z9" s="4"/>
    </row>
    <row r="10" spans="1:26" ht="41.25" customHeight="1" x14ac:dyDescent="0.4">
      <c r="A10" s="4"/>
      <c r="B10" s="4"/>
      <c r="C10" s="28" t="s">
        <v>19</v>
      </c>
      <c r="D10" s="6"/>
      <c r="E10" s="5">
        <v>3023.6</v>
      </c>
      <c r="F10" s="5">
        <v>-66.11</v>
      </c>
      <c r="G10" s="5">
        <v>-1131.4100000000001</v>
      </c>
      <c r="H10" s="5">
        <v>-135</v>
      </c>
      <c r="I10" s="5">
        <v>-1756.61</v>
      </c>
      <c r="J10" s="5">
        <v>0</v>
      </c>
      <c r="K10" s="5">
        <v>-0.02</v>
      </c>
      <c r="L10" s="5">
        <v>0</v>
      </c>
      <c r="M10" s="5">
        <v>0</v>
      </c>
      <c r="N10" s="5"/>
      <c r="O10" s="5">
        <v>-251.39</v>
      </c>
      <c r="P10" s="27">
        <f t="shared" si="0"/>
        <v>-316.94000000000017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41.25" customHeight="1" x14ac:dyDescent="0.4">
      <c r="A11" s="4"/>
      <c r="B11" s="4"/>
      <c r="C11" s="28" t="s">
        <v>20</v>
      </c>
      <c r="D11" s="6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/>
      <c r="O11" s="6"/>
      <c r="P11" s="27">
        <f t="shared" si="0"/>
        <v>0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41.25" customHeight="1" x14ac:dyDescent="0.4">
      <c r="A12" s="4"/>
      <c r="B12" s="4"/>
      <c r="C12" s="39" t="s">
        <v>65</v>
      </c>
      <c r="D12" s="6">
        <f>(0.15+3.45-0.39)</f>
        <v>3.21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/>
      <c r="O12" s="6"/>
      <c r="P12" s="27">
        <f t="shared" si="0"/>
        <v>3.21</v>
      </c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41.25" customHeight="1" x14ac:dyDescent="0.4">
      <c r="A13" s="4"/>
      <c r="B13" s="4"/>
      <c r="C13" s="39" t="s">
        <v>54</v>
      </c>
      <c r="D13" s="5">
        <f>(6.08+3.87+20.51+3.62+2.01+2)</f>
        <v>38.089999999999996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/>
      <c r="O13" s="6"/>
      <c r="P13" s="27">
        <f t="shared" si="0"/>
        <v>38.089999999999996</v>
      </c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41.25" customHeight="1" x14ac:dyDescent="0.4">
      <c r="A14" s="4"/>
      <c r="B14" s="4"/>
      <c r="C14" s="28" t="s">
        <v>21</v>
      </c>
      <c r="D14" s="6"/>
      <c r="E14" s="5">
        <v>50</v>
      </c>
      <c r="F14" s="7">
        <v>0</v>
      </c>
      <c r="G14" s="6">
        <v>0</v>
      </c>
      <c r="H14" s="6">
        <v>0</v>
      </c>
      <c r="I14" s="6">
        <v>0</v>
      </c>
      <c r="J14" s="7">
        <v>0</v>
      </c>
      <c r="K14" s="6">
        <v>0</v>
      </c>
      <c r="L14" s="6">
        <v>0</v>
      </c>
      <c r="M14" s="6">
        <v>0</v>
      </c>
      <c r="N14" s="6"/>
      <c r="O14" s="6">
        <v>28.59</v>
      </c>
      <c r="P14" s="27">
        <f t="shared" si="0"/>
        <v>78.59</v>
      </c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41.25" customHeight="1" x14ac:dyDescent="0.4">
      <c r="A15" s="4"/>
      <c r="B15" s="4"/>
      <c r="C15" s="39" t="s">
        <v>22</v>
      </c>
      <c r="D15" s="6"/>
      <c r="E15" s="5">
        <v>0</v>
      </c>
      <c r="F15" s="7">
        <v>0</v>
      </c>
      <c r="G15" s="6">
        <v>0</v>
      </c>
      <c r="H15" s="6">
        <v>0</v>
      </c>
      <c r="I15" s="6">
        <v>0</v>
      </c>
      <c r="J15" s="7">
        <v>0</v>
      </c>
      <c r="K15" s="6">
        <v>0</v>
      </c>
      <c r="L15" s="6">
        <v>0</v>
      </c>
      <c r="M15" s="6">
        <v>0</v>
      </c>
      <c r="N15" s="6"/>
      <c r="O15" s="6"/>
      <c r="P15" s="27">
        <f t="shared" si="0"/>
        <v>0</v>
      </c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41.25" customHeight="1" x14ac:dyDescent="0.4">
      <c r="A16" s="4"/>
      <c r="B16" s="4"/>
      <c r="C16" s="39" t="s">
        <v>66</v>
      </c>
      <c r="D16" s="5">
        <f>5000+2000</f>
        <v>7000</v>
      </c>
      <c r="E16" s="5">
        <v>60</v>
      </c>
      <c r="F16" s="5">
        <v>720</v>
      </c>
      <c r="G16" s="5">
        <v>970</v>
      </c>
      <c r="H16" s="5">
        <v>280</v>
      </c>
      <c r="I16" s="7">
        <v>650</v>
      </c>
      <c r="J16" s="7">
        <v>50</v>
      </c>
      <c r="K16" s="5">
        <v>680</v>
      </c>
      <c r="L16" s="5">
        <v>10</v>
      </c>
      <c r="M16" s="5">
        <v>30</v>
      </c>
      <c r="N16" s="5">
        <v>250.17</v>
      </c>
      <c r="O16" s="7">
        <v>30</v>
      </c>
      <c r="P16" s="27">
        <f t="shared" si="0"/>
        <v>10730.17</v>
      </c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41.25" customHeight="1" x14ac:dyDescent="0.4">
      <c r="A17" s="4"/>
      <c r="B17" s="4"/>
      <c r="C17" s="28" t="s">
        <v>23</v>
      </c>
      <c r="D17" s="5"/>
      <c r="E17" s="5">
        <f>489.91+2031.27-384.1</f>
        <v>2137.08</v>
      </c>
      <c r="F17" s="5">
        <f>-1687.81-307.51</f>
        <v>-1995.32</v>
      </c>
      <c r="G17" s="5">
        <f>-4283.39-160.42</f>
        <v>-4443.8100000000004</v>
      </c>
      <c r="H17" s="5">
        <v>564.37</v>
      </c>
      <c r="I17" s="7">
        <f>281.24+158.89</f>
        <v>440.13</v>
      </c>
      <c r="J17" s="7">
        <v>178.92</v>
      </c>
      <c r="K17" s="5">
        <v>0</v>
      </c>
      <c r="L17" s="5">
        <v>-24.47</v>
      </c>
      <c r="M17" s="5">
        <v>0</v>
      </c>
      <c r="N17" s="5"/>
      <c r="O17" s="7">
        <v>425.36</v>
      </c>
      <c r="P17" s="27">
        <f t="shared" si="0"/>
        <v>-2717.74</v>
      </c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41.25" customHeight="1" x14ac:dyDescent="0.4">
      <c r="A18" s="4"/>
      <c r="B18" s="4"/>
      <c r="C18" s="29" t="s">
        <v>50</v>
      </c>
      <c r="D18" s="6"/>
      <c r="E18" s="5">
        <v>-2144.96</v>
      </c>
      <c r="F18" s="5">
        <v>-3476.62</v>
      </c>
      <c r="G18" s="5">
        <v>0</v>
      </c>
      <c r="H18" s="6">
        <v>0</v>
      </c>
      <c r="I18" s="7">
        <v>0</v>
      </c>
      <c r="J18" s="7">
        <v>-689.7</v>
      </c>
      <c r="K18" s="6">
        <v>0</v>
      </c>
      <c r="L18" s="6">
        <v>0</v>
      </c>
      <c r="M18" s="6">
        <v>0</v>
      </c>
      <c r="N18" s="6">
        <v>-530.16999999999996</v>
      </c>
      <c r="O18" s="6">
        <v>0</v>
      </c>
      <c r="P18" s="27">
        <f t="shared" si="0"/>
        <v>-6841.45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41.25" customHeight="1" x14ac:dyDescent="0.4">
      <c r="A19" s="4"/>
      <c r="B19" s="4"/>
      <c r="C19" s="30" t="s">
        <v>24</v>
      </c>
      <c r="D19" s="7"/>
      <c r="E19" s="5">
        <v>-30.84</v>
      </c>
      <c r="F19" s="5">
        <v>1858.27</v>
      </c>
      <c r="G19" s="5">
        <v>572.71</v>
      </c>
      <c r="H19" s="5">
        <v>0</v>
      </c>
      <c r="I19" s="5">
        <v>-141.16999999999999</v>
      </c>
      <c r="J19" s="6">
        <v>0</v>
      </c>
      <c r="K19" s="6">
        <v>0</v>
      </c>
      <c r="L19" s="5">
        <v>1.82</v>
      </c>
      <c r="M19" s="7">
        <v>0</v>
      </c>
      <c r="N19" s="6"/>
      <c r="O19" s="7">
        <v>0.02</v>
      </c>
      <c r="P19" s="27">
        <f t="shared" si="0"/>
        <v>2260.8100000000004</v>
      </c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59.25" customHeight="1" x14ac:dyDescent="0.2">
      <c r="A20" s="1"/>
      <c r="B20" s="1"/>
      <c r="C20" s="31" t="s">
        <v>25</v>
      </c>
      <c r="D20" s="8">
        <f t="shared" ref="D20:P20" si="1">SUM(D8:D19)</f>
        <v>7041.3</v>
      </c>
      <c r="E20" s="8">
        <f t="shared" si="1"/>
        <v>8068.2699999999995</v>
      </c>
      <c r="F20" s="8">
        <f t="shared" si="1"/>
        <v>12015.95</v>
      </c>
      <c r="G20" s="8">
        <f t="shared" si="1"/>
        <v>8487.2499999999982</v>
      </c>
      <c r="H20" s="8">
        <f t="shared" si="1"/>
        <v>11331.660000000002</v>
      </c>
      <c r="I20" s="8">
        <f t="shared" si="1"/>
        <v>6267.9800000000005</v>
      </c>
      <c r="J20" s="8">
        <f t="shared" si="1"/>
        <v>1345.9</v>
      </c>
      <c r="K20" s="8">
        <f t="shared" si="1"/>
        <v>5487.3799999999992</v>
      </c>
      <c r="L20" s="8">
        <f t="shared" si="1"/>
        <v>4195.4399999999996</v>
      </c>
      <c r="M20" s="8">
        <f t="shared" si="1"/>
        <v>1552.36</v>
      </c>
      <c r="N20" s="8">
        <f t="shared" si="1"/>
        <v>0</v>
      </c>
      <c r="O20" s="8">
        <f t="shared" si="1"/>
        <v>1886.02</v>
      </c>
      <c r="P20" s="8">
        <f t="shared" si="1"/>
        <v>67679.509999999995</v>
      </c>
      <c r="Q20" s="1"/>
      <c r="R20" s="32"/>
      <c r="S20" s="1"/>
      <c r="T20" s="1"/>
      <c r="U20" s="1"/>
      <c r="V20" s="1"/>
      <c r="W20" s="1"/>
      <c r="X20" s="1"/>
      <c r="Y20" s="1"/>
      <c r="Z20" s="1"/>
    </row>
    <row r="21" spans="1:26" ht="30" customHeight="1" x14ac:dyDescent="0.2">
      <c r="C21" s="53" t="s">
        <v>26</v>
      </c>
      <c r="D21" s="60" t="s">
        <v>2</v>
      </c>
      <c r="E21" s="6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</row>
    <row r="22" spans="1:26" ht="75.75" customHeight="1" x14ac:dyDescent="0.2">
      <c r="C22" s="54"/>
      <c r="D22" s="54"/>
      <c r="E22" s="21" t="s">
        <v>5</v>
      </c>
      <c r="F22" s="3" t="s">
        <v>6</v>
      </c>
      <c r="G22" s="3" t="s">
        <v>7</v>
      </c>
      <c r="H22" s="3" t="s">
        <v>8</v>
      </c>
      <c r="I22" s="3" t="s">
        <v>9</v>
      </c>
      <c r="J22" s="21" t="s">
        <v>70</v>
      </c>
      <c r="K22" s="3" t="s">
        <v>11</v>
      </c>
      <c r="L22" s="3" t="s">
        <v>12</v>
      </c>
      <c r="M22" s="3" t="s">
        <v>13</v>
      </c>
      <c r="N22" s="3" t="s">
        <v>14</v>
      </c>
      <c r="O22" s="3" t="s">
        <v>15</v>
      </c>
      <c r="P22" s="16" t="s">
        <v>4</v>
      </c>
    </row>
    <row r="23" spans="1:26" ht="41.25" customHeight="1" x14ac:dyDescent="0.2">
      <c r="A23" s="9"/>
      <c r="B23" s="9"/>
      <c r="C23" s="33" t="s">
        <v>27</v>
      </c>
      <c r="D23" s="22">
        <f>(450.6+260+520=628+465.7+338+507+621.4)+(664.5+250+488.25+30+563+280+1103+263.25+741.4+975+1877.05+1406+5527.91+167.42+875)</f>
        <v>15211.78</v>
      </c>
      <c r="E23" s="5">
        <v>2657.55</v>
      </c>
      <c r="F23" s="7">
        <f>3094.7+736.54+473.85+705.23+700.5+708.5+1297.4+1054+1004.5</f>
        <v>9775.2199999999993</v>
      </c>
      <c r="G23" s="5">
        <v>918.5</v>
      </c>
      <c r="H23" s="6">
        <f>5555.64+609.85</f>
        <v>6165.4900000000007</v>
      </c>
      <c r="I23" s="7">
        <v>5492.18</v>
      </c>
      <c r="J23" s="5">
        <f>668.69+284.8</f>
        <v>953.49</v>
      </c>
      <c r="K23" s="6">
        <v>0</v>
      </c>
      <c r="L23" s="5">
        <v>3412</v>
      </c>
      <c r="M23" s="6">
        <v>0</v>
      </c>
      <c r="N23" s="5">
        <v>0</v>
      </c>
      <c r="O23" s="6">
        <v>0</v>
      </c>
      <c r="P23" s="34">
        <f t="shared" ref="P23:P34" si="2">SUM(D23:O23)</f>
        <v>44586.21</v>
      </c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41.25" customHeight="1" x14ac:dyDescent="0.2">
      <c r="A24" s="9"/>
      <c r="B24" s="9"/>
      <c r="C24" s="28" t="s">
        <v>28</v>
      </c>
      <c r="D24" s="36"/>
      <c r="E24" s="5">
        <v>943.6</v>
      </c>
      <c r="F24" s="5">
        <f>450+307+285+355</f>
        <v>1397</v>
      </c>
      <c r="G24" s="5">
        <v>1350.93</v>
      </c>
      <c r="H24" s="5">
        <v>465.57</v>
      </c>
      <c r="I24" s="5">
        <v>775.8</v>
      </c>
      <c r="J24" s="5">
        <v>50</v>
      </c>
      <c r="K24" s="5">
        <v>280</v>
      </c>
      <c r="L24" s="5">
        <v>310</v>
      </c>
      <c r="M24" s="5">
        <v>100</v>
      </c>
      <c r="N24" s="5">
        <v>0</v>
      </c>
      <c r="O24" s="5">
        <v>50</v>
      </c>
      <c r="P24" s="34">
        <f t="shared" si="2"/>
        <v>5722.9</v>
      </c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40.5" customHeight="1" x14ac:dyDescent="0.2">
      <c r="A25" s="9"/>
      <c r="B25" s="9"/>
      <c r="C25" s="28" t="s">
        <v>29</v>
      </c>
      <c r="D25" s="36">
        <f>(140+1040+240)</f>
        <v>1420</v>
      </c>
      <c r="E25" s="5">
        <v>0</v>
      </c>
      <c r="F25" s="5">
        <v>740</v>
      </c>
      <c r="G25" s="5">
        <v>180</v>
      </c>
      <c r="H25" s="6">
        <v>0</v>
      </c>
      <c r="I25" s="6">
        <v>0</v>
      </c>
      <c r="J25" s="5">
        <v>0</v>
      </c>
      <c r="K25" s="6"/>
      <c r="L25" s="6"/>
      <c r="M25" s="6"/>
      <c r="N25" s="6"/>
      <c r="O25" s="6"/>
      <c r="P25" s="34">
        <f t="shared" si="2"/>
        <v>2340</v>
      </c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41.25" customHeight="1" x14ac:dyDescent="0.2">
      <c r="A26" s="9"/>
      <c r="B26" s="9"/>
      <c r="C26" s="28" t="s">
        <v>30</v>
      </c>
      <c r="D26" s="23">
        <v>19.899999999999999</v>
      </c>
      <c r="E26" s="5">
        <v>0</v>
      </c>
      <c r="F26" s="6">
        <v>0</v>
      </c>
      <c r="G26" s="5">
        <v>70</v>
      </c>
      <c r="H26" s="6">
        <v>0</v>
      </c>
      <c r="I26" s="6">
        <v>0</v>
      </c>
      <c r="J26" s="6">
        <v>0</v>
      </c>
      <c r="K26" s="6"/>
      <c r="L26" s="6"/>
      <c r="M26" s="6"/>
      <c r="N26" s="6"/>
      <c r="O26" s="6"/>
      <c r="P26" s="34">
        <f t="shared" si="2"/>
        <v>89.9</v>
      </c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41.25" customHeight="1" x14ac:dyDescent="0.2">
      <c r="A27" s="9"/>
      <c r="B27" s="9"/>
      <c r="C27" s="30" t="s">
        <v>51</v>
      </c>
      <c r="D27" s="22">
        <v>900</v>
      </c>
      <c r="E27" s="6">
        <v>0</v>
      </c>
      <c r="F27" s="7">
        <v>0</v>
      </c>
      <c r="G27" s="6">
        <v>0</v>
      </c>
      <c r="H27" s="6">
        <v>0</v>
      </c>
      <c r="I27" s="6">
        <v>0</v>
      </c>
      <c r="J27" s="6">
        <v>0</v>
      </c>
      <c r="K27" s="6"/>
      <c r="L27" s="6"/>
      <c r="M27" s="6"/>
      <c r="N27" s="6"/>
      <c r="O27" s="6"/>
      <c r="P27" s="34">
        <f t="shared" si="2"/>
        <v>900</v>
      </c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41.25" customHeight="1" x14ac:dyDescent="0.2">
      <c r="A28" s="9"/>
      <c r="B28" s="9"/>
      <c r="C28" s="29" t="s">
        <v>48</v>
      </c>
      <c r="D28" s="23"/>
      <c r="E28" s="6">
        <v>0</v>
      </c>
      <c r="F28" s="5">
        <v>0</v>
      </c>
      <c r="G28" s="6">
        <v>0</v>
      </c>
      <c r="H28" s="6">
        <v>0</v>
      </c>
      <c r="I28" s="6">
        <v>0</v>
      </c>
      <c r="J28" s="6">
        <v>0</v>
      </c>
      <c r="K28" s="6"/>
      <c r="L28" s="6"/>
      <c r="M28" s="6"/>
      <c r="N28" s="6"/>
      <c r="O28" s="6"/>
      <c r="P28" s="34">
        <f t="shared" si="2"/>
        <v>0</v>
      </c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41.25" customHeight="1" x14ac:dyDescent="0.2">
      <c r="A29" s="9"/>
      <c r="B29" s="9"/>
      <c r="C29" s="28" t="s">
        <v>31</v>
      </c>
      <c r="D29" s="22">
        <f>(2000+1.2)</f>
        <v>2001.2</v>
      </c>
      <c r="E29" s="6">
        <v>0</v>
      </c>
      <c r="F29" s="6">
        <v>0</v>
      </c>
      <c r="G29" s="5">
        <v>5101</v>
      </c>
      <c r="H29" s="6">
        <v>0</v>
      </c>
      <c r="I29" s="6">
        <v>0</v>
      </c>
      <c r="J29" s="6">
        <v>0</v>
      </c>
      <c r="K29" s="6"/>
      <c r="L29" s="6"/>
      <c r="M29" s="6"/>
      <c r="N29" s="6"/>
      <c r="O29" s="6">
        <v>1836.02</v>
      </c>
      <c r="P29" s="34">
        <f t="shared" si="2"/>
        <v>8938.2199999999993</v>
      </c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41.25" customHeight="1" x14ac:dyDescent="0.2">
      <c r="A30" s="9"/>
      <c r="B30" s="9"/>
      <c r="C30" s="39" t="s">
        <v>32</v>
      </c>
      <c r="D30" s="22">
        <v>39.4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/>
      <c r="L30" s="6"/>
      <c r="M30" s="6"/>
      <c r="N30" s="6"/>
      <c r="O30" s="6"/>
      <c r="P30" s="34">
        <f t="shared" si="2"/>
        <v>39.4</v>
      </c>
      <c r="Q30" s="9"/>
      <c r="R30" s="10"/>
      <c r="S30" s="9"/>
      <c r="T30" s="9"/>
      <c r="U30" s="9"/>
      <c r="V30" s="9"/>
      <c r="W30" s="9"/>
      <c r="X30" s="9"/>
      <c r="Y30" s="9"/>
      <c r="Z30" s="9"/>
    </row>
    <row r="31" spans="1:26" ht="41.25" customHeight="1" x14ac:dyDescent="0.2">
      <c r="A31" s="9"/>
      <c r="B31" s="9"/>
      <c r="C31" s="39" t="s">
        <v>55</v>
      </c>
      <c r="D31" s="22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/>
      <c r="L31" s="6"/>
      <c r="M31" s="6"/>
      <c r="N31" s="6"/>
      <c r="O31" s="6"/>
      <c r="P31" s="34">
        <f t="shared" si="2"/>
        <v>0</v>
      </c>
      <c r="Q31" s="9"/>
      <c r="R31" s="10"/>
      <c r="S31" s="9"/>
      <c r="T31" s="9"/>
      <c r="U31" s="9"/>
      <c r="V31" s="9"/>
      <c r="W31" s="9"/>
      <c r="X31" s="9"/>
      <c r="Y31" s="9"/>
      <c r="Z31" s="9"/>
    </row>
    <row r="32" spans="1:26" ht="41.25" customHeight="1" x14ac:dyDescent="0.2">
      <c r="A32" s="9"/>
      <c r="B32" s="9"/>
      <c r="C32" s="39" t="s">
        <v>33</v>
      </c>
      <c r="D32" s="22">
        <v>2.86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/>
      <c r="L32" s="6"/>
      <c r="M32" s="6"/>
      <c r="N32" s="6"/>
      <c r="O32" s="6"/>
      <c r="P32" s="34">
        <f t="shared" si="2"/>
        <v>2.86</v>
      </c>
      <c r="Q32" s="9"/>
      <c r="R32" s="10"/>
      <c r="S32" s="9"/>
      <c r="T32" s="9"/>
      <c r="U32" s="9"/>
      <c r="V32" s="9"/>
      <c r="W32" s="9"/>
      <c r="X32" s="9"/>
      <c r="Y32" s="9"/>
      <c r="Z32" s="9"/>
    </row>
    <row r="33" spans="1:26" ht="41.25" customHeight="1" x14ac:dyDescent="0.2">
      <c r="A33" s="9"/>
      <c r="B33" s="9"/>
      <c r="C33" s="30" t="s">
        <v>49</v>
      </c>
      <c r="D33" s="22"/>
      <c r="E33" s="6">
        <v>0</v>
      </c>
      <c r="F33" s="6">
        <v>0</v>
      </c>
      <c r="G33" s="5">
        <v>0</v>
      </c>
      <c r="H33" s="6">
        <v>0</v>
      </c>
      <c r="I33" s="6">
        <v>0</v>
      </c>
      <c r="J33" s="6">
        <v>0</v>
      </c>
      <c r="K33" s="6"/>
      <c r="L33" s="6"/>
      <c r="M33" s="6"/>
      <c r="N33" s="6"/>
      <c r="O33" s="6"/>
      <c r="P33" s="34">
        <f t="shared" si="2"/>
        <v>0</v>
      </c>
      <c r="Q33" s="9"/>
      <c r="R33" s="10"/>
      <c r="S33" s="9"/>
      <c r="T33" s="9"/>
      <c r="U33" s="9"/>
      <c r="V33" s="9"/>
      <c r="W33" s="9"/>
      <c r="X33" s="9"/>
      <c r="Y33" s="9"/>
      <c r="Z33" s="9"/>
    </row>
    <row r="34" spans="1:26" ht="41.25" customHeight="1" x14ac:dyDescent="0.2">
      <c r="A34" s="9"/>
      <c r="B34" s="9"/>
      <c r="C34" s="11" t="s">
        <v>34</v>
      </c>
      <c r="D34" s="23"/>
      <c r="E34" s="5">
        <v>0</v>
      </c>
      <c r="F34" s="7">
        <v>0</v>
      </c>
      <c r="G34" s="6">
        <v>0</v>
      </c>
      <c r="H34" s="6"/>
      <c r="I34" s="6">
        <v>0</v>
      </c>
      <c r="J34" s="6">
        <v>0</v>
      </c>
      <c r="K34" s="6"/>
      <c r="L34" s="6"/>
      <c r="M34" s="6"/>
      <c r="N34" s="6"/>
      <c r="O34" s="6"/>
      <c r="P34" s="34">
        <f t="shared" si="2"/>
        <v>0</v>
      </c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60.75" customHeight="1" x14ac:dyDescent="0.2">
      <c r="A35" s="12"/>
      <c r="B35" s="12"/>
      <c r="C35" s="31" t="s">
        <v>35</v>
      </c>
      <c r="D35" s="13">
        <f t="shared" ref="D35:P35" si="3">SUM(D23:D34)</f>
        <v>19595.140000000003</v>
      </c>
      <c r="E35" s="13">
        <f t="shared" si="3"/>
        <v>3601.15</v>
      </c>
      <c r="F35" s="13">
        <f t="shared" si="3"/>
        <v>11912.22</v>
      </c>
      <c r="G35" s="13">
        <f t="shared" si="3"/>
        <v>7620.43</v>
      </c>
      <c r="H35" s="13">
        <f t="shared" si="3"/>
        <v>6631.06</v>
      </c>
      <c r="I35" s="13">
        <f t="shared" si="3"/>
        <v>6267.9800000000005</v>
      </c>
      <c r="J35" s="13">
        <f t="shared" si="3"/>
        <v>1003.49</v>
      </c>
      <c r="K35" s="13">
        <f t="shared" si="3"/>
        <v>280</v>
      </c>
      <c r="L35" s="13">
        <f t="shared" si="3"/>
        <v>3722</v>
      </c>
      <c r="M35" s="13">
        <f t="shared" si="3"/>
        <v>100</v>
      </c>
      <c r="N35" s="13">
        <f t="shared" si="3"/>
        <v>0</v>
      </c>
      <c r="O35" s="13">
        <f t="shared" si="3"/>
        <v>1886.02</v>
      </c>
      <c r="P35" s="13">
        <f t="shared" si="3"/>
        <v>62619.490000000005</v>
      </c>
      <c r="Q35" s="12"/>
      <c r="R35" s="14"/>
      <c r="S35" s="12"/>
      <c r="T35" s="12"/>
      <c r="U35" s="12"/>
      <c r="V35" s="12"/>
      <c r="W35" s="12"/>
      <c r="X35" s="12"/>
      <c r="Y35" s="12"/>
      <c r="Z35" s="12"/>
    </row>
    <row r="36" spans="1:26" ht="59.25" customHeight="1" x14ac:dyDescent="0.2">
      <c r="A36" s="1"/>
      <c r="B36" s="1"/>
      <c r="C36" s="38" t="s">
        <v>36</v>
      </c>
      <c r="D36" s="15"/>
      <c r="E36" s="15">
        <f t="shared" ref="E36:O36" si="4">E20-E35</f>
        <v>4467.119999999999</v>
      </c>
      <c r="F36" s="15">
        <f t="shared" si="4"/>
        <v>103.73000000000138</v>
      </c>
      <c r="G36" s="15">
        <f t="shared" si="4"/>
        <v>866.81999999999789</v>
      </c>
      <c r="H36" s="15">
        <f t="shared" si="4"/>
        <v>4700.6000000000013</v>
      </c>
      <c r="I36" s="15">
        <f t="shared" si="4"/>
        <v>0</v>
      </c>
      <c r="J36" s="15">
        <f t="shared" si="4"/>
        <v>342.41000000000008</v>
      </c>
      <c r="K36" s="15">
        <f t="shared" si="4"/>
        <v>5207.3799999999992</v>
      </c>
      <c r="L36" s="15">
        <f t="shared" si="4"/>
        <v>473.4399999999996</v>
      </c>
      <c r="M36" s="15">
        <f t="shared" si="4"/>
        <v>1452.36</v>
      </c>
      <c r="N36" s="15">
        <f t="shared" si="4"/>
        <v>0</v>
      </c>
      <c r="O36" s="15">
        <f t="shared" si="4"/>
        <v>0</v>
      </c>
      <c r="P36" s="15">
        <f>SUM(E36:O36)</f>
        <v>17613.86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4.25" customHeight="1" x14ac:dyDescent="0.2">
      <c r="A37" s="1"/>
      <c r="B37" s="1"/>
      <c r="C37" s="35" t="s">
        <v>52</v>
      </c>
      <c r="D37" s="17"/>
      <c r="E37" s="17">
        <v>4467.12</v>
      </c>
      <c r="F37" s="17">
        <f>41.21+62.52</f>
        <v>103.73</v>
      </c>
      <c r="G37" s="25">
        <f>225.85+155.61+485.36</f>
        <v>866.82</v>
      </c>
      <c r="H37" s="24">
        <f>(591.99+753.59)+(2868.4+184+26.25+276.37)</f>
        <v>4700.6000000000004</v>
      </c>
      <c r="I37" s="24">
        <v>0</v>
      </c>
      <c r="J37" s="25">
        <f>178.92+163.49</f>
        <v>342.40999999999997</v>
      </c>
      <c r="K37" s="25">
        <v>5207.38</v>
      </c>
      <c r="L37" s="25">
        <v>473.44</v>
      </c>
      <c r="M37" s="24">
        <v>1452.36</v>
      </c>
      <c r="N37" s="24">
        <v>0</v>
      </c>
      <c r="O37" s="25">
        <v>0</v>
      </c>
      <c r="P37" s="17">
        <f>SUM(E37:O37)</f>
        <v>17613.86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0.5" customHeight="1" x14ac:dyDescent="0.45"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26" ht="12.75" customHeight="1" x14ac:dyDescent="0.2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26" ht="12.75" customHeight="1" x14ac:dyDescent="0.2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26" ht="13.5" customHeight="1" thickBot="1" x14ac:dyDescent="0.25"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26" ht="45" customHeight="1" x14ac:dyDescent="0.2">
      <c r="C42" s="62" t="s">
        <v>37</v>
      </c>
      <c r="D42" s="63"/>
      <c r="E42" s="63"/>
      <c r="F42" s="63"/>
      <c r="G42" s="63"/>
      <c r="H42" s="63"/>
      <c r="I42" s="63"/>
      <c r="J42" s="64"/>
      <c r="K42" s="19"/>
      <c r="L42" s="19"/>
      <c r="M42" s="19"/>
    </row>
    <row r="43" spans="1:26" ht="34.5" customHeight="1" x14ac:dyDescent="0.2">
      <c r="C43" s="65" t="s">
        <v>38</v>
      </c>
      <c r="D43" s="52"/>
      <c r="E43" s="66">
        <v>0.03</v>
      </c>
      <c r="F43" s="52"/>
      <c r="G43" s="66">
        <v>0.02</v>
      </c>
      <c r="H43" s="52"/>
      <c r="I43" s="59" t="s">
        <v>4</v>
      </c>
      <c r="J43" s="67"/>
      <c r="K43" s="19"/>
      <c r="L43" s="19"/>
      <c r="M43" s="19"/>
    </row>
    <row r="44" spans="1:26" ht="36" customHeight="1" thickBot="1" x14ac:dyDescent="0.25">
      <c r="C44" s="68" t="s">
        <v>39</v>
      </c>
      <c r="D44" s="69"/>
      <c r="E44" s="70">
        <f>P9*0.03</f>
        <v>1705.6431</v>
      </c>
      <c r="F44" s="69"/>
      <c r="G44" s="70">
        <f>P9*0.02</f>
        <v>1137.0954000000002</v>
      </c>
      <c r="H44" s="69"/>
      <c r="I44" s="71">
        <f>SUM(E44:H44)</f>
        <v>2842.7385000000004</v>
      </c>
      <c r="J44" s="72"/>
      <c r="K44" s="19"/>
      <c r="L44" s="19"/>
      <c r="M44" s="19"/>
    </row>
    <row r="45" spans="1:26" ht="12.75" customHeight="1" x14ac:dyDescent="0.2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26" ht="12.75" customHeight="1" x14ac:dyDescent="0.2"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26" ht="12.75" customHeight="1" x14ac:dyDescent="0.2"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26" ht="12.75" customHeight="1" x14ac:dyDescent="0.2"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3:17" ht="12.75" customHeight="1" x14ac:dyDescent="0.2"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3:17" ht="12.75" customHeight="1" x14ac:dyDescent="0.2"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3:17" ht="12.75" customHeight="1" x14ac:dyDescent="0.2"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3:17" ht="13.5" customHeight="1" thickBot="1" x14ac:dyDescent="0.25"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3:17" ht="59.25" customHeight="1" x14ac:dyDescent="0.2">
      <c r="C53" s="62" t="s">
        <v>40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4"/>
      <c r="O53" s="19"/>
    </row>
    <row r="54" spans="3:17" ht="59.25" customHeight="1" x14ac:dyDescent="0.2">
      <c r="C54" s="79" t="s">
        <v>41</v>
      </c>
      <c r="D54" s="46"/>
      <c r="E54" s="56" t="s">
        <v>42</v>
      </c>
      <c r="F54" s="46"/>
      <c r="G54" s="81" t="s">
        <v>43</v>
      </c>
      <c r="H54" s="51"/>
      <c r="I54" s="51"/>
      <c r="J54" s="51"/>
      <c r="K54" s="51"/>
      <c r="L54" s="52"/>
      <c r="M54" s="56" t="s">
        <v>44</v>
      </c>
      <c r="N54" s="57"/>
      <c r="O54" s="19"/>
    </row>
    <row r="55" spans="3:17" ht="41.25" customHeight="1" x14ac:dyDescent="0.2">
      <c r="C55" s="80"/>
      <c r="D55" s="49"/>
      <c r="E55" s="47"/>
      <c r="F55" s="49"/>
      <c r="G55" s="59" t="s">
        <v>45</v>
      </c>
      <c r="H55" s="52"/>
      <c r="I55" s="59" t="s">
        <v>46</v>
      </c>
      <c r="J55" s="52"/>
      <c r="K55" s="59" t="s">
        <v>36</v>
      </c>
      <c r="L55" s="52"/>
      <c r="M55" s="47"/>
      <c r="N55" s="58"/>
      <c r="O55" s="19"/>
      <c r="P55" s="19"/>
      <c r="Q55" s="19"/>
    </row>
    <row r="56" spans="3:17" ht="41.25" customHeight="1" x14ac:dyDescent="0.2">
      <c r="C56" s="73" t="s">
        <v>47</v>
      </c>
      <c r="D56" s="52"/>
      <c r="E56" s="74">
        <v>3111.06</v>
      </c>
      <c r="F56" s="52"/>
      <c r="G56" s="75">
        <v>12464.5</v>
      </c>
      <c r="H56" s="52"/>
      <c r="I56" s="76">
        <v>-15274.33</v>
      </c>
      <c r="J56" s="52"/>
      <c r="K56" s="87">
        <f t="shared" ref="K56:K57" si="5">G56+I56</f>
        <v>-2809.83</v>
      </c>
      <c r="L56" s="52"/>
      <c r="M56" s="82">
        <f t="shared" ref="M56:M58" si="6">E56+K56</f>
        <v>301.23</v>
      </c>
      <c r="N56" s="67"/>
      <c r="O56" s="19"/>
      <c r="P56" s="19"/>
      <c r="Q56" s="19"/>
    </row>
    <row r="57" spans="3:17" ht="41.25" customHeight="1" x14ac:dyDescent="0.2">
      <c r="C57" s="73" t="s">
        <v>53</v>
      </c>
      <c r="D57" s="52"/>
      <c r="E57" s="74">
        <v>35139.300000000003</v>
      </c>
      <c r="F57" s="52"/>
      <c r="G57" s="75">
        <v>12191.05</v>
      </c>
      <c r="H57" s="52"/>
      <c r="I57" s="76">
        <v>-8112</v>
      </c>
      <c r="J57" s="52"/>
      <c r="K57" s="83">
        <f t="shared" si="5"/>
        <v>4079.0499999999993</v>
      </c>
      <c r="L57" s="52"/>
      <c r="M57" s="82">
        <f t="shared" si="6"/>
        <v>39218.350000000006</v>
      </c>
      <c r="N57" s="67"/>
      <c r="O57" s="19"/>
      <c r="P57" s="20"/>
      <c r="Q57" s="19"/>
    </row>
    <row r="58" spans="3:17" ht="60.75" customHeight="1" thickBot="1" x14ac:dyDescent="0.25">
      <c r="C58" s="68" t="s">
        <v>4</v>
      </c>
      <c r="D58" s="69"/>
      <c r="E58" s="70">
        <f>SUM(E56:F57)</f>
        <v>38250.36</v>
      </c>
      <c r="F58" s="69"/>
      <c r="G58" s="70">
        <f>SUM(G56:H57)</f>
        <v>24655.55</v>
      </c>
      <c r="H58" s="69"/>
      <c r="I58" s="84">
        <f>SUM(I56:J57)</f>
        <v>-23386.33</v>
      </c>
      <c r="J58" s="69"/>
      <c r="K58" s="71">
        <f>SUM(K56:L57)</f>
        <v>1269.2199999999993</v>
      </c>
      <c r="L58" s="69"/>
      <c r="M58" s="70">
        <f t="shared" si="6"/>
        <v>39519.58</v>
      </c>
      <c r="N58" s="72"/>
      <c r="O58" s="19"/>
      <c r="P58" s="19"/>
      <c r="Q58" s="19"/>
    </row>
    <row r="59" spans="3:17" ht="12.75" customHeight="1" x14ac:dyDescent="0.2"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3:17" ht="12.75" customHeight="1" x14ac:dyDescent="0.2"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3:17" ht="12.75" customHeight="1" x14ac:dyDescent="0.2"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3:17" ht="12.75" customHeight="1" x14ac:dyDescent="0.2"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3:17" ht="12.75" customHeight="1" x14ac:dyDescent="0.2"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3:17" ht="12.75" customHeight="1" x14ac:dyDescent="0.2"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4:15" ht="12.75" customHeight="1" x14ac:dyDescent="0.2"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4:15" ht="12.75" customHeight="1" x14ac:dyDescent="0.2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4:15" ht="12.75" customHeight="1" x14ac:dyDescent="0.2"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4:15" ht="12.75" customHeight="1" x14ac:dyDescent="0.2"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4:15" ht="12.75" customHeight="1" x14ac:dyDescent="0.2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4:15" ht="12.75" customHeight="1" x14ac:dyDescent="0.2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4:15" ht="12.75" customHeight="1" x14ac:dyDescent="0.2"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4:15" ht="12.75" customHeight="1" x14ac:dyDescent="0.2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4:15" ht="12.75" customHeight="1" x14ac:dyDescent="0.2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4:15" ht="12.75" customHeight="1" x14ac:dyDescent="0.2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4:15" ht="12.75" customHeight="1" x14ac:dyDescent="0.2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4:15" ht="12.75" customHeight="1" x14ac:dyDescent="0.2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4:15" ht="12.75" customHeight="1" x14ac:dyDescent="0.2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4:15" ht="12.75" customHeight="1" x14ac:dyDescent="0.2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4:15" ht="12.75" customHeight="1" x14ac:dyDescent="0.2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4:15" ht="12.75" customHeight="1" x14ac:dyDescent="0.2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4:15" ht="12.75" customHeight="1" x14ac:dyDescent="0.2"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4:15" ht="12.75" customHeight="1" x14ac:dyDescent="0.2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4:15" ht="12.75" customHeight="1" x14ac:dyDescent="0.2"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4:15" ht="12.75" customHeight="1" x14ac:dyDescent="0.2"/>
    <row r="85" spans="4:15" ht="12.75" customHeight="1" x14ac:dyDescent="0.2"/>
    <row r="86" spans="4:15" ht="12.75" customHeight="1" x14ac:dyDescent="0.2"/>
    <row r="87" spans="4:15" ht="12.75" customHeight="1" x14ac:dyDescent="0.2"/>
    <row r="88" spans="4:15" ht="12.75" customHeight="1" x14ac:dyDescent="0.2"/>
    <row r="89" spans="4:15" ht="12.75" customHeight="1" x14ac:dyDescent="0.2"/>
    <row r="90" spans="4:15" ht="12.75" customHeight="1" x14ac:dyDescent="0.2"/>
    <row r="91" spans="4:15" ht="12.75" customHeight="1" x14ac:dyDescent="0.2"/>
    <row r="92" spans="4:15" ht="12.75" customHeight="1" x14ac:dyDescent="0.2"/>
    <row r="93" spans="4:15" ht="12.75" customHeight="1" x14ac:dyDescent="0.2"/>
    <row r="94" spans="4:15" ht="12.75" customHeight="1" x14ac:dyDescent="0.2"/>
    <row r="95" spans="4:15" ht="12.75" customHeight="1" x14ac:dyDescent="0.2"/>
    <row r="96" spans="4:15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44">
    <mergeCell ref="M58:N58"/>
    <mergeCell ref="M56:N56"/>
    <mergeCell ref="C57:D57"/>
    <mergeCell ref="E57:F57"/>
    <mergeCell ref="G57:H57"/>
    <mergeCell ref="I57:J57"/>
    <mergeCell ref="K57:L57"/>
    <mergeCell ref="M57:N57"/>
    <mergeCell ref="C58:D58"/>
    <mergeCell ref="E58:F58"/>
    <mergeCell ref="G58:H58"/>
    <mergeCell ref="I58:J58"/>
    <mergeCell ref="K58:L58"/>
    <mergeCell ref="K55:L55"/>
    <mergeCell ref="C56:D56"/>
    <mergeCell ref="E56:F56"/>
    <mergeCell ref="G56:H56"/>
    <mergeCell ref="I56:J56"/>
    <mergeCell ref="K56:L56"/>
    <mergeCell ref="C54:D55"/>
    <mergeCell ref="E54:F55"/>
    <mergeCell ref="G54:L54"/>
    <mergeCell ref="M54:N55"/>
    <mergeCell ref="G55:H55"/>
    <mergeCell ref="C21:C22"/>
    <mergeCell ref="D21:D22"/>
    <mergeCell ref="E21:P21"/>
    <mergeCell ref="C42:J42"/>
    <mergeCell ref="C43:D43"/>
    <mergeCell ref="E43:F43"/>
    <mergeCell ref="G43:H43"/>
    <mergeCell ref="I43:J43"/>
    <mergeCell ref="C44:D44"/>
    <mergeCell ref="E44:F44"/>
    <mergeCell ref="G44:H44"/>
    <mergeCell ref="I44:J44"/>
    <mergeCell ref="C53:N53"/>
    <mergeCell ref="I55:J55"/>
    <mergeCell ref="C3:P4"/>
    <mergeCell ref="D5:P5"/>
    <mergeCell ref="C6:C7"/>
    <mergeCell ref="D6:D7"/>
    <mergeCell ref="E6:O6"/>
    <mergeCell ref="P6:P7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C37E3-EA86-4C95-A4C9-0D8699580FC5}">
  <dimension ref="A1:Z1001"/>
  <sheetViews>
    <sheetView showGridLines="0" topLeftCell="D37" zoomScale="40" zoomScaleNormal="40" workbookViewId="0">
      <selection activeCell="V30" sqref="V30"/>
    </sheetView>
  </sheetViews>
  <sheetFormatPr defaultColWidth="14.42578125" defaultRowHeight="15" customHeight="1" x14ac:dyDescent="0.2"/>
  <cols>
    <col min="1" max="2" width="8" customWidth="1"/>
    <col min="3" max="3" width="138.28515625" customWidth="1"/>
    <col min="4" max="16" width="29.7109375" customWidth="1"/>
    <col min="17" max="17" width="8" customWidth="1"/>
    <col min="18" max="18" width="25.85546875" customWidth="1"/>
    <col min="19" max="26" width="8" customWidth="1"/>
  </cols>
  <sheetData>
    <row r="1" spans="1:26" ht="83.25" customHeight="1" x14ac:dyDescent="0.2"/>
    <row r="2" spans="1:26" ht="13.5" customHeight="1" x14ac:dyDescent="0.2"/>
    <row r="3" spans="1:26" ht="37.5" customHeight="1" x14ac:dyDescent="0.2">
      <c r="C3" s="44" t="s">
        <v>0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</row>
    <row r="4" spans="1:26" ht="37.5" customHeight="1" x14ac:dyDescent="0.2"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</row>
    <row r="5" spans="1:26" ht="69.75" customHeight="1" x14ac:dyDescent="0.2">
      <c r="A5" s="1"/>
      <c r="B5" s="1"/>
      <c r="C5" s="26"/>
      <c r="D5" s="86" t="s">
        <v>57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8" customHeight="1" x14ac:dyDescent="0.2">
      <c r="C6" s="53" t="s">
        <v>1</v>
      </c>
      <c r="D6" s="53" t="s">
        <v>2</v>
      </c>
      <c r="E6" s="55" t="s">
        <v>3</v>
      </c>
      <c r="F6" s="51"/>
      <c r="G6" s="51"/>
      <c r="H6" s="51"/>
      <c r="I6" s="51"/>
      <c r="J6" s="51"/>
      <c r="K6" s="51"/>
      <c r="L6" s="51"/>
      <c r="M6" s="51"/>
      <c r="N6" s="51"/>
      <c r="O6" s="52"/>
      <c r="P6" s="53" t="s">
        <v>4</v>
      </c>
    </row>
    <row r="7" spans="1:26" ht="60.75" customHeight="1" x14ac:dyDescent="0.2">
      <c r="A7" s="2"/>
      <c r="B7" s="2"/>
      <c r="C7" s="54"/>
      <c r="D7" s="54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72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4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1.25" customHeight="1" x14ac:dyDescent="0.4">
      <c r="A8" s="4"/>
      <c r="B8" s="4"/>
      <c r="C8" s="28" t="s">
        <v>16</v>
      </c>
      <c r="D8" s="6"/>
      <c r="E8" s="5">
        <v>1030</v>
      </c>
      <c r="F8" s="5">
        <v>1540</v>
      </c>
      <c r="G8" s="5">
        <v>1250</v>
      </c>
      <c r="H8" s="5">
        <v>1350</v>
      </c>
      <c r="I8" s="5">
        <v>690</v>
      </c>
      <c r="J8" s="5">
        <v>20</v>
      </c>
      <c r="K8" s="5">
        <v>540</v>
      </c>
      <c r="L8" s="5">
        <v>440</v>
      </c>
      <c r="M8" s="5">
        <v>180</v>
      </c>
      <c r="N8" s="5">
        <v>280</v>
      </c>
      <c r="O8" s="5">
        <v>90</v>
      </c>
      <c r="P8" s="27">
        <f t="shared" ref="P8:P19" si="0">SUM(D8:O8)</f>
        <v>7410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41.25" customHeight="1" x14ac:dyDescent="0.4">
      <c r="A9" s="4"/>
      <c r="B9" s="4"/>
      <c r="C9" s="28" t="s">
        <v>17</v>
      </c>
      <c r="D9" s="6"/>
      <c r="E9" s="5">
        <v>4042.57</v>
      </c>
      <c r="F9" s="5">
        <v>12432.91</v>
      </c>
      <c r="G9" s="5">
        <v>12764.09</v>
      </c>
      <c r="H9" s="5">
        <v>9019.43</v>
      </c>
      <c r="I9" s="5">
        <v>6179.03</v>
      </c>
      <c r="J9" s="5">
        <v>1348.67</v>
      </c>
      <c r="K9" s="5">
        <v>3400.14</v>
      </c>
      <c r="L9" s="5">
        <v>3217.83</v>
      </c>
      <c r="M9" s="5">
        <f>1131.37-30</f>
        <v>1101.3699999999999</v>
      </c>
      <c r="N9" s="5">
        <v>0</v>
      </c>
      <c r="O9" s="5">
        <v>706.98</v>
      </c>
      <c r="P9" s="27">
        <f t="shared" si="0"/>
        <v>54213.020000000004</v>
      </c>
      <c r="Q9" s="4" t="s">
        <v>18</v>
      </c>
      <c r="R9" s="4"/>
      <c r="S9" s="4"/>
      <c r="T9" s="4"/>
      <c r="U9" s="4"/>
      <c r="V9" s="4"/>
      <c r="W9" s="4"/>
      <c r="X9" s="4"/>
      <c r="Y9" s="4"/>
      <c r="Z9" s="4"/>
    </row>
    <row r="10" spans="1:26" ht="41.25" customHeight="1" x14ac:dyDescent="0.4">
      <c r="A10" s="4"/>
      <c r="B10" s="4"/>
      <c r="C10" s="28" t="s">
        <v>19</v>
      </c>
      <c r="D10" s="6"/>
      <c r="E10" s="5">
        <v>0</v>
      </c>
      <c r="F10" s="5">
        <v>-272.79000000000002</v>
      </c>
      <c r="G10" s="5">
        <v>-562.85</v>
      </c>
      <c r="H10" s="5">
        <v>-135</v>
      </c>
      <c r="I10" s="5">
        <v>-787.75</v>
      </c>
      <c r="J10" s="5">
        <v>0</v>
      </c>
      <c r="K10" s="5">
        <v>-0.03</v>
      </c>
      <c r="L10" s="5">
        <v>0</v>
      </c>
      <c r="M10" s="5">
        <v>0</v>
      </c>
      <c r="N10" s="5">
        <v>0</v>
      </c>
      <c r="O10" s="5">
        <v>-366.59</v>
      </c>
      <c r="P10" s="27">
        <f t="shared" si="0"/>
        <v>-2125.0100000000002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41.25" customHeight="1" x14ac:dyDescent="0.4">
      <c r="A11" s="4"/>
      <c r="B11" s="4"/>
      <c r="C11" s="28" t="s">
        <v>20</v>
      </c>
      <c r="D11" s="6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27">
        <f t="shared" si="0"/>
        <v>0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41.25" customHeight="1" x14ac:dyDescent="0.4">
      <c r="A12" s="4"/>
      <c r="B12" s="4"/>
      <c r="C12" s="39" t="s">
        <v>65</v>
      </c>
      <c r="D12" s="6">
        <v>0.35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27">
        <f t="shared" si="0"/>
        <v>0.35</v>
      </c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41.25" customHeight="1" x14ac:dyDescent="0.4">
      <c r="A13" s="4"/>
      <c r="B13" s="4"/>
      <c r="C13" s="39" t="s">
        <v>54</v>
      </c>
      <c r="D13" s="5">
        <f>5.36+1.11+3.87+19.61+2.95+5.18+2.2</f>
        <v>40.28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27">
        <f t="shared" si="0"/>
        <v>40.28</v>
      </c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41.25" customHeight="1" x14ac:dyDescent="0.4">
      <c r="A14" s="4"/>
      <c r="B14" s="4"/>
      <c r="C14" s="28" t="s">
        <v>21</v>
      </c>
      <c r="D14" s="6"/>
      <c r="E14" s="5">
        <v>30</v>
      </c>
      <c r="F14" s="7">
        <v>0</v>
      </c>
      <c r="G14" s="6">
        <v>0</v>
      </c>
      <c r="H14" s="6">
        <v>0</v>
      </c>
      <c r="I14" s="6">
        <v>30</v>
      </c>
      <c r="J14" s="7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27">
        <f t="shared" si="0"/>
        <v>60</v>
      </c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41.25" customHeight="1" x14ac:dyDescent="0.4">
      <c r="A15" s="4"/>
      <c r="B15" s="4"/>
      <c r="C15" s="39" t="s">
        <v>22</v>
      </c>
      <c r="D15" s="6"/>
      <c r="E15" s="5">
        <v>0</v>
      </c>
      <c r="F15" s="7">
        <v>0</v>
      </c>
      <c r="G15" s="6">
        <v>0</v>
      </c>
      <c r="H15" s="6">
        <v>0</v>
      </c>
      <c r="I15" s="6">
        <v>0</v>
      </c>
      <c r="J15" s="7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27">
        <f t="shared" si="0"/>
        <v>0</v>
      </c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41.25" customHeight="1" x14ac:dyDescent="0.4">
      <c r="A16" s="4"/>
      <c r="B16" s="4"/>
      <c r="C16" s="39" t="s">
        <v>66</v>
      </c>
      <c r="D16" s="5">
        <f>100</f>
        <v>100</v>
      </c>
      <c r="E16" s="5">
        <v>30</v>
      </c>
      <c r="F16" s="5">
        <v>680</v>
      </c>
      <c r="G16" s="5">
        <v>1470</v>
      </c>
      <c r="H16" s="5">
        <v>530</v>
      </c>
      <c r="I16" s="7">
        <v>0</v>
      </c>
      <c r="J16" s="7">
        <v>160</v>
      </c>
      <c r="K16" s="5">
        <v>1040</v>
      </c>
      <c r="L16" s="5">
        <v>140</v>
      </c>
      <c r="M16" s="5">
        <v>30</v>
      </c>
      <c r="N16" s="5">
        <v>290</v>
      </c>
      <c r="O16" s="7">
        <v>120</v>
      </c>
      <c r="P16" s="27">
        <f t="shared" si="0"/>
        <v>4590</v>
      </c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41.25" customHeight="1" x14ac:dyDescent="0.4">
      <c r="A17" s="4"/>
      <c r="B17" s="4"/>
      <c r="C17" s="28" t="s">
        <v>23</v>
      </c>
      <c r="D17" s="5"/>
      <c r="E17" s="5">
        <f>2144.96+275.84</f>
        <v>2420.8000000000002</v>
      </c>
      <c r="F17" s="5">
        <f>-(1858.27+66.11)+12.47</f>
        <v>-1911.9099999999999</v>
      </c>
      <c r="G17" s="5">
        <v>370.12</v>
      </c>
      <c r="H17" s="5">
        <f>135+188.58</f>
        <v>323.58000000000004</v>
      </c>
      <c r="I17" s="7">
        <f>1756.61+141.17</f>
        <v>1897.78</v>
      </c>
      <c r="J17" s="7">
        <f>245.82+188</f>
        <v>433.82</v>
      </c>
      <c r="K17" s="5">
        <v>0</v>
      </c>
      <c r="L17" s="5">
        <v>-1.82</v>
      </c>
      <c r="M17" s="5">
        <v>0</v>
      </c>
      <c r="N17" s="5">
        <v>520.36</v>
      </c>
      <c r="O17" s="7">
        <f>251.39-0.02+230.42</f>
        <v>481.78999999999996</v>
      </c>
      <c r="P17" s="27">
        <f t="shared" si="0"/>
        <v>4534.5200000000004</v>
      </c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41.25" customHeight="1" x14ac:dyDescent="0.4">
      <c r="A18" s="4"/>
      <c r="B18" s="4"/>
      <c r="C18" s="28" t="s">
        <v>50</v>
      </c>
      <c r="D18" s="6"/>
      <c r="E18" s="5">
        <v>-2309.5100000000002</v>
      </c>
      <c r="F18" s="5">
        <v>0</v>
      </c>
      <c r="G18" s="5">
        <v>0</v>
      </c>
      <c r="H18" s="6">
        <v>0</v>
      </c>
      <c r="I18" s="7">
        <v>0</v>
      </c>
      <c r="J18" s="7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27">
        <f t="shared" si="0"/>
        <v>-2309.5100000000002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41.25" customHeight="1" x14ac:dyDescent="0.4">
      <c r="A19" s="4"/>
      <c r="B19" s="4"/>
      <c r="C19" s="28" t="s">
        <v>24</v>
      </c>
      <c r="D19" s="7"/>
      <c r="E19" s="5">
        <v>-11.85</v>
      </c>
      <c r="F19" s="5">
        <v>1802.14</v>
      </c>
      <c r="G19" s="5">
        <v>-39.31</v>
      </c>
      <c r="H19" s="5">
        <v>0</v>
      </c>
      <c r="I19" s="5">
        <v>-115.16</v>
      </c>
      <c r="J19" s="6">
        <v>0</v>
      </c>
      <c r="K19" s="6">
        <v>0</v>
      </c>
      <c r="L19" s="5">
        <v>2.68</v>
      </c>
      <c r="M19" s="7">
        <v>0</v>
      </c>
      <c r="N19" s="6">
        <v>0</v>
      </c>
      <c r="O19" s="7">
        <v>0.97</v>
      </c>
      <c r="P19" s="27">
        <f t="shared" si="0"/>
        <v>1639.4700000000003</v>
      </c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59.25" customHeight="1" x14ac:dyDescent="0.2">
      <c r="A20" s="1"/>
      <c r="B20" s="1"/>
      <c r="C20" s="31" t="s">
        <v>25</v>
      </c>
      <c r="D20" s="8">
        <f t="shared" ref="D20:P20" si="1">SUM(D8:D19)</f>
        <v>140.63</v>
      </c>
      <c r="E20" s="8">
        <f t="shared" si="1"/>
        <v>5232.0099999999993</v>
      </c>
      <c r="F20" s="8">
        <f t="shared" si="1"/>
        <v>14270.349999999999</v>
      </c>
      <c r="G20" s="8">
        <f t="shared" si="1"/>
        <v>15252.050000000001</v>
      </c>
      <c r="H20" s="8">
        <f t="shared" si="1"/>
        <v>11088.01</v>
      </c>
      <c r="I20" s="8">
        <f t="shared" si="1"/>
        <v>7893.9</v>
      </c>
      <c r="J20" s="8">
        <f t="shared" si="1"/>
        <v>1962.49</v>
      </c>
      <c r="K20" s="8">
        <f t="shared" si="1"/>
        <v>4980.1099999999997</v>
      </c>
      <c r="L20" s="8">
        <f t="shared" si="1"/>
        <v>3798.6899999999996</v>
      </c>
      <c r="M20" s="8">
        <f t="shared" si="1"/>
        <v>1311.37</v>
      </c>
      <c r="N20" s="8">
        <f t="shared" si="1"/>
        <v>1090.3600000000001</v>
      </c>
      <c r="O20" s="8">
        <f t="shared" si="1"/>
        <v>1033.1500000000001</v>
      </c>
      <c r="P20" s="8">
        <f t="shared" si="1"/>
        <v>68053.12000000001</v>
      </c>
      <c r="Q20" s="1"/>
      <c r="R20" s="32"/>
      <c r="S20" s="1"/>
      <c r="T20" s="1"/>
      <c r="U20" s="1"/>
      <c r="V20" s="1"/>
      <c r="W20" s="1"/>
      <c r="X20" s="1"/>
      <c r="Y20" s="1"/>
      <c r="Z20" s="1"/>
    </row>
    <row r="21" spans="1:26" ht="30" customHeight="1" x14ac:dyDescent="0.2">
      <c r="C21" s="53" t="s">
        <v>26</v>
      </c>
      <c r="D21" s="60" t="s">
        <v>2</v>
      </c>
      <c r="E21" s="6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</row>
    <row r="22" spans="1:26" ht="75.75" customHeight="1" x14ac:dyDescent="0.2">
      <c r="C22" s="54"/>
      <c r="D22" s="54"/>
      <c r="E22" s="21" t="s">
        <v>5</v>
      </c>
      <c r="F22" s="3" t="s">
        <v>6</v>
      </c>
      <c r="G22" s="3" t="s">
        <v>7</v>
      </c>
      <c r="H22" s="3" t="s">
        <v>8</v>
      </c>
      <c r="I22" s="3" t="s">
        <v>9</v>
      </c>
      <c r="J22" s="21" t="s">
        <v>71</v>
      </c>
      <c r="K22" s="3" t="s">
        <v>11</v>
      </c>
      <c r="L22" s="3" t="s">
        <v>12</v>
      </c>
      <c r="M22" s="3" t="s">
        <v>13</v>
      </c>
      <c r="N22" s="3" t="s">
        <v>14</v>
      </c>
      <c r="O22" s="3" t="s">
        <v>15</v>
      </c>
      <c r="P22" s="16" t="s">
        <v>4</v>
      </c>
    </row>
    <row r="23" spans="1:26" ht="41.25" customHeight="1" x14ac:dyDescent="0.2">
      <c r="A23" s="9"/>
      <c r="B23" s="9"/>
      <c r="C23" s="33" t="s">
        <v>27</v>
      </c>
      <c r="D23" s="22">
        <f>(495+263.25+700.5+369+605.3+304.5+1240+377+657+912+231.42+1146.9+462.15+343+875+845+506.35+484+276.71+253.5+820.8)+(623.5+3300+30+550.35+621+608+738.5+645+3332.7+2415.38)</f>
        <v>25032.809999999998</v>
      </c>
      <c r="E23" s="5">
        <v>2302.0500000000002</v>
      </c>
      <c r="F23" s="7">
        <f>1974.5+2927.7+286+3953.7</f>
        <v>9141.9</v>
      </c>
      <c r="G23" s="5">
        <v>0</v>
      </c>
      <c r="H23" s="6">
        <v>5511.7</v>
      </c>
      <c r="I23" s="7">
        <v>7121.7</v>
      </c>
      <c r="J23" s="5">
        <v>272.63</v>
      </c>
      <c r="K23" s="6">
        <v>0</v>
      </c>
      <c r="L23" s="5">
        <v>3053.3</v>
      </c>
      <c r="M23" s="6">
        <v>0</v>
      </c>
      <c r="N23" s="5">
        <v>0</v>
      </c>
      <c r="O23" s="6">
        <v>0</v>
      </c>
      <c r="P23" s="34">
        <f t="shared" ref="P23:P34" si="2">SUM(D23:O23)</f>
        <v>52436.089999999989</v>
      </c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41.25" customHeight="1" x14ac:dyDescent="0.2">
      <c r="A24" s="9"/>
      <c r="B24" s="9"/>
      <c r="C24" s="28" t="s">
        <v>28</v>
      </c>
      <c r="D24" s="36"/>
      <c r="E24" s="5">
        <v>785</v>
      </c>
      <c r="F24" s="5">
        <v>1161.5</v>
      </c>
      <c r="G24" s="5">
        <v>1195</v>
      </c>
      <c r="H24" s="5">
        <v>575</v>
      </c>
      <c r="I24" s="5">
        <v>772.2</v>
      </c>
      <c r="J24" s="5">
        <v>50</v>
      </c>
      <c r="K24" s="5">
        <v>280</v>
      </c>
      <c r="L24" s="5">
        <v>280</v>
      </c>
      <c r="M24" s="5">
        <v>125</v>
      </c>
      <c r="N24" s="5">
        <v>0</v>
      </c>
      <c r="O24" s="5">
        <v>50</v>
      </c>
      <c r="P24" s="34">
        <f t="shared" si="2"/>
        <v>5273.7</v>
      </c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40.5" customHeight="1" x14ac:dyDescent="0.2">
      <c r="A25" s="9"/>
      <c r="B25" s="9"/>
      <c r="C25" s="28" t="s">
        <v>29</v>
      </c>
      <c r="D25" s="36">
        <f>52+240+250-250+1040</f>
        <v>1332</v>
      </c>
      <c r="E25" s="5">
        <v>0</v>
      </c>
      <c r="F25" s="5">
        <v>0</v>
      </c>
      <c r="G25" s="5">
        <f>70+180+200</f>
        <v>450</v>
      </c>
      <c r="H25" s="6">
        <v>0</v>
      </c>
      <c r="I25" s="6">
        <v>0</v>
      </c>
      <c r="J25" s="5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34">
        <f t="shared" si="2"/>
        <v>1782</v>
      </c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41.25" customHeight="1" x14ac:dyDescent="0.2">
      <c r="A26" s="9"/>
      <c r="B26" s="9"/>
      <c r="C26" s="28" t="s">
        <v>30</v>
      </c>
      <c r="D26" s="23">
        <f>140+140</f>
        <v>280</v>
      </c>
      <c r="E26" s="5">
        <v>0</v>
      </c>
      <c r="F26" s="6">
        <v>0</v>
      </c>
      <c r="G26" s="5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4">
        <f t="shared" si="2"/>
        <v>280</v>
      </c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41.25" customHeight="1" x14ac:dyDescent="0.2">
      <c r="A27" s="9"/>
      <c r="B27" s="9"/>
      <c r="C27" s="28" t="s">
        <v>51</v>
      </c>
      <c r="D27" s="22">
        <v>900</v>
      </c>
      <c r="E27" s="6">
        <v>0</v>
      </c>
      <c r="F27" s="7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4">
        <f t="shared" si="2"/>
        <v>900</v>
      </c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41.25" customHeight="1" x14ac:dyDescent="0.2">
      <c r="A28" s="9"/>
      <c r="B28" s="9"/>
      <c r="C28" s="28" t="s">
        <v>48</v>
      </c>
      <c r="D28" s="23"/>
      <c r="E28" s="6">
        <v>0</v>
      </c>
      <c r="F28" s="5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4">
        <f t="shared" si="2"/>
        <v>0</v>
      </c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41.25" customHeight="1" x14ac:dyDescent="0.2">
      <c r="A29" s="9"/>
      <c r="B29" s="9"/>
      <c r="C29" s="28" t="s">
        <v>31</v>
      </c>
      <c r="D29" s="22">
        <f>3000+5000</f>
        <v>8000</v>
      </c>
      <c r="E29" s="6">
        <v>0</v>
      </c>
      <c r="F29" s="6">
        <v>0</v>
      </c>
      <c r="G29" s="5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4">
        <f t="shared" si="2"/>
        <v>8000</v>
      </c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41.25" customHeight="1" x14ac:dyDescent="0.2">
      <c r="A30" s="9"/>
      <c r="B30" s="9"/>
      <c r="C30" s="39" t="s">
        <v>32</v>
      </c>
      <c r="D30" s="22">
        <v>39.4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4">
        <f t="shared" si="2"/>
        <v>39.4</v>
      </c>
      <c r="Q30" s="9"/>
      <c r="R30" s="10"/>
      <c r="S30" s="9"/>
      <c r="T30" s="9"/>
      <c r="U30" s="9"/>
      <c r="V30" s="9"/>
      <c r="W30" s="9"/>
      <c r="X30" s="9"/>
      <c r="Y30" s="9"/>
      <c r="Z30" s="9"/>
    </row>
    <row r="31" spans="1:26" ht="41.25" customHeight="1" x14ac:dyDescent="0.2">
      <c r="A31" s="9"/>
      <c r="B31" s="9"/>
      <c r="C31" s="39" t="s">
        <v>55</v>
      </c>
      <c r="D31" s="22">
        <v>6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4">
        <f t="shared" si="2"/>
        <v>6</v>
      </c>
      <c r="Q31" s="9"/>
      <c r="R31" s="10"/>
      <c r="S31" s="9"/>
      <c r="T31" s="9"/>
      <c r="U31" s="9"/>
      <c r="V31" s="9"/>
      <c r="W31" s="9"/>
      <c r="X31" s="9"/>
      <c r="Y31" s="9"/>
      <c r="Z31" s="9"/>
    </row>
    <row r="32" spans="1:26" ht="41.25" customHeight="1" x14ac:dyDescent="0.2">
      <c r="A32" s="9"/>
      <c r="B32" s="9"/>
      <c r="C32" s="39" t="s">
        <v>33</v>
      </c>
      <c r="D32" s="22">
        <v>2.86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4">
        <f t="shared" si="2"/>
        <v>2.86</v>
      </c>
      <c r="Q32" s="9"/>
      <c r="R32" s="10"/>
      <c r="S32" s="9"/>
      <c r="T32" s="9"/>
      <c r="U32" s="9"/>
      <c r="V32" s="9"/>
      <c r="W32" s="9"/>
      <c r="X32" s="9"/>
      <c r="Y32" s="9"/>
      <c r="Z32" s="9"/>
    </row>
    <row r="33" spans="1:26" ht="41.25" customHeight="1" x14ac:dyDescent="0.2">
      <c r="A33" s="9"/>
      <c r="B33" s="9"/>
      <c r="C33" s="28" t="s">
        <v>49</v>
      </c>
      <c r="D33" s="22"/>
      <c r="E33" s="6">
        <v>0</v>
      </c>
      <c r="F33" s="6">
        <v>0</v>
      </c>
      <c r="G33" s="5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4">
        <f t="shared" si="2"/>
        <v>0</v>
      </c>
      <c r="Q33" s="9"/>
      <c r="R33" s="10"/>
      <c r="S33" s="9"/>
      <c r="T33" s="9"/>
      <c r="U33" s="9"/>
      <c r="V33" s="9"/>
      <c r="W33" s="9"/>
      <c r="X33" s="9"/>
      <c r="Y33" s="9"/>
      <c r="Z33" s="9"/>
    </row>
    <row r="34" spans="1:26" ht="41.25" customHeight="1" x14ac:dyDescent="0.2">
      <c r="A34" s="9"/>
      <c r="B34" s="9"/>
      <c r="C34" s="42" t="s">
        <v>34</v>
      </c>
      <c r="D34" s="23"/>
      <c r="E34" s="5">
        <v>0</v>
      </c>
      <c r="F34" s="7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4">
        <f t="shared" si="2"/>
        <v>0</v>
      </c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60.75" customHeight="1" x14ac:dyDescent="0.2">
      <c r="A35" s="12"/>
      <c r="B35" s="12"/>
      <c r="C35" s="31" t="s">
        <v>35</v>
      </c>
      <c r="D35" s="13">
        <f t="shared" ref="D35:P35" si="3">SUM(D23:D34)</f>
        <v>35593.07</v>
      </c>
      <c r="E35" s="13">
        <f t="shared" si="3"/>
        <v>3087.05</v>
      </c>
      <c r="F35" s="13">
        <f t="shared" si="3"/>
        <v>10303.4</v>
      </c>
      <c r="G35" s="13">
        <f t="shared" si="3"/>
        <v>1645</v>
      </c>
      <c r="H35" s="13">
        <f t="shared" si="3"/>
        <v>6086.7</v>
      </c>
      <c r="I35" s="13">
        <f t="shared" si="3"/>
        <v>7893.9</v>
      </c>
      <c r="J35" s="13">
        <f t="shared" si="3"/>
        <v>322.63</v>
      </c>
      <c r="K35" s="13">
        <f t="shared" si="3"/>
        <v>280</v>
      </c>
      <c r="L35" s="13">
        <f t="shared" si="3"/>
        <v>3333.3</v>
      </c>
      <c r="M35" s="13">
        <f t="shared" si="3"/>
        <v>125</v>
      </c>
      <c r="N35" s="13">
        <f t="shared" si="3"/>
        <v>0</v>
      </c>
      <c r="O35" s="13">
        <f t="shared" si="3"/>
        <v>50</v>
      </c>
      <c r="P35" s="13">
        <f t="shared" si="3"/>
        <v>68720.049999999974</v>
      </c>
      <c r="Q35" s="12"/>
      <c r="R35" s="14"/>
      <c r="S35" s="12"/>
      <c r="T35" s="12"/>
      <c r="U35" s="12"/>
      <c r="V35" s="12"/>
      <c r="W35" s="12"/>
      <c r="X35" s="12"/>
      <c r="Y35" s="12"/>
      <c r="Z35" s="12"/>
    </row>
    <row r="36" spans="1:26" ht="59.25" customHeight="1" x14ac:dyDescent="0.2">
      <c r="A36" s="1"/>
      <c r="B36" s="1"/>
      <c r="C36" s="38" t="s">
        <v>36</v>
      </c>
      <c r="D36" s="15"/>
      <c r="E36" s="15">
        <f t="shared" ref="E36:O36" si="4">E20-E35</f>
        <v>2144.9599999999991</v>
      </c>
      <c r="F36" s="15">
        <f t="shared" si="4"/>
        <v>3966.9499999999989</v>
      </c>
      <c r="G36" s="15">
        <f t="shared" si="4"/>
        <v>13607.050000000001</v>
      </c>
      <c r="H36" s="15">
        <f t="shared" si="4"/>
        <v>5001.3100000000004</v>
      </c>
      <c r="I36" s="15">
        <f t="shared" si="4"/>
        <v>0</v>
      </c>
      <c r="J36" s="15">
        <f t="shared" si="4"/>
        <v>1639.8600000000001</v>
      </c>
      <c r="K36" s="15">
        <f t="shared" si="4"/>
        <v>4700.1099999999997</v>
      </c>
      <c r="L36" s="15">
        <f t="shared" si="4"/>
        <v>465.38999999999942</v>
      </c>
      <c r="M36" s="15">
        <f t="shared" si="4"/>
        <v>1186.3699999999999</v>
      </c>
      <c r="N36" s="15">
        <f t="shared" si="4"/>
        <v>1090.3600000000001</v>
      </c>
      <c r="O36" s="15">
        <f t="shared" si="4"/>
        <v>983.15000000000009</v>
      </c>
      <c r="P36" s="15">
        <f>SUM(E36:O36)</f>
        <v>34785.51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4.25" customHeight="1" x14ac:dyDescent="0.2">
      <c r="A37" s="1"/>
      <c r="B37" s="1"/>
      <c r="C37" s="35" t="s">
        <v>52</v>
      </c>
      <c r="D37" s="17"/>
      <c r="E37" s="17">
        <f>2144.96</f>
        <v>2144.96</v>
      </c>
      <c r="F37" s="17">
        <f>(305.48+2168.62+770.23+338.83+256.08)+(101.11+26.6)</f>
        <v>3966.95</v>
      </c>
      <c r="G37" s="17">
        <f>(152.07+154.98)+4800+8500</f>
        <v>13607.05</v>
      </c>
      <c r="H37" s="17">
        <f>3616.68+(1032.73+163.32+188.58)</f>
        <v>5001.3099999999995</v>
      </c>
      <c r="I37" s="17">
        <v>0</v>
      </c>
      <c r="J37" s="25">
        <f>(245.82+598.18+156.66+280.88+170.32)+188</f>
        <v>1639.86</v>
      </c>
      <c r="K37" s="25">
        <v>4700.1099999999997</v>
      </c>
      <c r="L37" s="25">
        <v>465.39</v>
      </c>
      <c r="M37" s="24">
        <v>1186.3699999999999</v>
      </c>
      <c r="N37" s="24">
        <f>530.17+560.19</f>
        <v>1090.3600000000001</v>
      </c>
      <c r="O37" s="25">
        <v>983.15</v>
      </c>
      <c r="P37" s="17">
        <f>SUM(E37:O37)</f>
        <v>34785.509999999995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0.5" customHeight="1" x14ac:dyDescent="0.45"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26" ht="12.75" customHeight="1" x14ac:dyDescent="0.2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26" ht="12.75" customHeight="1" x14ac:dyDescent="0.2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26" ht="13.5" customHeight="1" thickBot="1" x14ac:dyDescent="0.25"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26" ht="45" customHeight="1" x14ac:dyDescent="0.2">
      <c r="C42" s="62" t="s">
        <v>37</v>
      </c>
      <c r="D42" s="63"/>
      <c r="E42" s="63"/>
      <c r="F42" s="63"/>
      <c r="G42" s="63"/>
      <c r="H42" s="63"/>
      <c r="I42" s="63"/>
      <c r="J42" s="64"/>
      <c r="K42" s="19"/>
      <c r="L42" s="19"/>
      <c r="M42" s="19"/>
    </row>
    <row r="43" spans="1:26" ht="34.5" customHeight="1" x14ac:dyDescent="0.2">
      <c r="C43" s="65" t="s">
        <v>38</v>
      </c>
      <c r="D43" s="52"/>
      <c r="E43" s="66">
        <v>0.03</v>
      </c>
      <c r="F43" s="52"/>
      <c r="G43" s="66">
        <v>0.02</v>
      </c>
      <c r="H43" s="52"/>
      <c r="I43" s="59" t="s">
        <v>4</v>
      </c>
      <c r="J43" s="67"/>
      <c r="K43" s="19"/>
      <c r="L43" s="19"/>
      <c r="M43" s="19"/>
    </row>
    <row r="44" spans="1:26" ht="36" customHeight="1" thickBot="1" x14ac:dyDescent="0.25">
      <c r="C44" s="68" t="s">
        <v>39</v>
      </c>
      <c r="D44" s="69"/>
      <c r="E44" s="70">
        <f>P9*0.03</f>
        <v>1626.3905999999999</v>
      </c>
      <c r="F44" s="69"/>
      <c r="G44" s="70">
        <f>P9*0.02</f>
        <v>1084.2604000000001</v>
      </c>
      <c r="H44" s="69"/>
      <c r="I44" s="71">
        <f>SUM(E44:H44)</f>
        <v>2710.6509999999998</v>
      </c>
      <c r="J44" s="72"/>
      <c r="K44" s="19"/>
      <c r="L44" s="19"/>
      <c r="M44" s="19"/>
    </row>
    <row r="45" spans="1:26" ht="12.75" customHeight="1" x14ac:dyDescent="0.2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26" ht="12.75" customHeight="1" x14ac:dyDescent="0.2"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26" ht="12.75" customHeight="1" x14ac:dyDescent="0.2"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26" ht="12.75" customHeight="1" x14ac:dyDescent="0.2"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3:17" ht="12.75" customHeight="1" x14ac:dyDescent="0.2"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3:17" ht="12.75" customHeight="1" x14ac:dyDescent="0.2"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3:17" ht="12.75" customHeight="1" x14ac:dyDescent="0.2"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3:17" ht="13.5" customHeight="1" thickBot="1" x14ac:dyDescent="0.25"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3:17" ht="59.25" customHeight="1" x14ac:dyDescent="0.2">
      <c r="C53" s="62" t="s">
        <v>40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4"/>
      <c r="O53" s="19"/>
    </row>
    <row r="54" spans="3:17" ht="59.25" customHeight="1" x14ac:dyDescent="0.2">
      <c r="C54" s="79" t="s">
        <v>41</v>
      </c>
      <c r="D54" s="46"/>
      <c r="E54" s="56" t="s">
        <v>42</v>
      </c>
      <c r="F54" s="46"/>
      <c r="G54" s="81" t="s">
        <v>43</v>
      </c>
      <c r="H54" s="51"/>
      <c r="I54" s="51"/>
      <c r="J54" s="51"/>
      <c r="K54" s="51"/>
      <c r="L54" s="52"/>
      <c r="M54" s="56" t="s">
        <v>44</v>
      </c>
      <c r="N54" s="57"/>
      <c r="O54" s="19"/>
    </row>
    <row r="55" spans="3:17" ht="41.25" customHeight="1" x14ac:dyDescent="0.2">
      <c r="C55" s="80"/>
      <c r="D55" s="49"/>
      <c r="E55" s="47"/>
      <c r="F55" s="49"/>
      <c r="G55" s="59" t="s">
        <v>45</v>
      </c>
      <c r="H55" s="52"/>
      <c r="I55" s="59" t="s">
        <v>46</v>
      </c>
      <c r="J55" s="52"/>
      <c r="K55" s="59" t="s">
        <v>36</v>
      </c>
      <c r="L55" s="52"/>
      <c r="M55" s="47"/>
      <c r="N55" s="58"/>
      <c r="O55" s="19"/>
      <c r="P55" s="19"/>
      <c r="Q55" s="19"/>
    </row>
    <row r="56" spans="3:17" ht="41.25" customHeight="1" x14ac:dyDescent="0.2">
      <c r="C56" s="73" t="s">
        <v>47</v>
      </c>
      <c r="D56" s="52"/>
      <c r="E56" s="74">
        <v>301.23</v>
      </c>
      <c r="F56" s="52"/>
      <c r="G56" s="74">
        <v>20218.12</v>
      </c>
      <c r="H56" s="88"/>
      <c r="I56" s="76">
        <v>-18715.68</v>
      </c>
      <c r="J56" s="52"/>
      <c r="K56" s="89">
        <f>G56+I56</f>
        <v>1502.4399999999987</v>
      </c>
      <c r="L56" s="52"/>
      <c r="M56" s="82">
        <f t="shared" ref="M56:M58" si="5">E56+K56</f>
        <v>1803.6699999999987</v>
      </c>
      <c r="N56" s="67"/>
      <c r="O56" s="19"/>
      <c r="P56" s="19"/>
      <c r="Q56" s="19"/>
    </row>
    <row r="57" spans="3:17" ht="41.25" customHeight="1" x14ac:dyDescent="0.2">
      <c r="C57" s="73" t="s">
        <v>53</v>
      </c>
      <c r="D57" s="52"/>
      <c r="E57" s="74">
        <v>39218.35</v>
      </c>
      <c r="F57" s="52"/>
      <c r="G57" s="74">
        <v>18057.48</v>
      </c>
      <c r="H57" s="88"/>
      <c r="I57" s="76">
        <v>-23090.43</v>
      </c>
      <c r="J57" s="52"/>
      <c r="K57" s="87">
        <f t="shared" ref="K57" si="6">G57+I57</f>
        <v>-5032.9500000000007</v>
      </c>
      <c r="L57" s="90"/>
      <c r="M57" s="82">
        <f t="shared" si="5"/>
        <v>34185.399999999994</v>
      </c>
      <c r="N57" s="67"/>
      <c r="O57" s="19"/>
      <c r="P57" s="20"/>
      <c r="Q57" s="19"/>
    </row>
    <row r="58" spans="3:17" ht="60.75" customHeight="1" thickBot="1" x14ac:dyDescent="0.25">
      <c r="C58" s="68" t="s">
        <v>4</v>
      </c>
      <c r="D58" s="69"/>
      <c r="E58" s="70">
        <f>SUM(E56:F57)</f>
        <v>39519.58</v>
      </c>
      <c r="F58" s="69"/>
      <c r="G58" s="70">
        <f>SUM(G56:H57)</f>
        <v>38275.599999999999</v>
      </c>
      <c r="H58" s="69"/>
      <c r="I58" s="84">
        <f>SUM(I56:J57)</f>
        <v>-41806.11</v>
      </c>
      <c r="J58" s="69"/>
      <c r="K58" s="84">
        <f>SUM(K56:L57)</f>
        <v>-3530.510000000002</v>
      </c>
      <c r="L58" s="91"/>
      <c r="M58" s="70">
        <f t="shared" si="5"/>
        <v>35989.07</v>
      </c>
      <c r="N58" s="72"/>
      <c r="O58" s="19"/>
      <c r="P58" s="19"/>
      <c r="Q58" s="19"/>
    </row>
    <row r="59" spans="3:17" ht="12.75" customHeight="1" x14ac:dyDescent="0.2"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3:17" ht="12.75" customHeight="1" x14ac:dyDescent="0.2"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3:17" ht="12.75" customHeight="1" x14ac:dyDescent="0.2"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3:17" ht="12.75" customHeight="1" x14ac:dyDescent="0.2"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3:17" ht="12.75" customHeight="1" x14ac:dyDescent="0.2"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3:17" ht="12.75" customHeight="1" x14ac:dyDescent="0.2"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4:15" ht="12.75" customHeight="1" x14ac:dyDescent="0.2"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4:15" ht="12.75" customHeight="1" x14ac:dyDescent="0.2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4:15" ht="12.75" customHeight="1" x14ac:dyDescent="0.2"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4:15" ht="12.75" customHeight="1" x14ac:dyDescent="0.2"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4:15" ht="12.75" customHeight="1" x14ac:dyDescent="0.2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4:15" ht="12.75" customHeight="1" x14ac:dyDescent="0.2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4:15" ht="12.75" customHeight="1" x14ac:dyDescent="0.2"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4:15" ht="12.75" customHeight="1" x14ac:dyDescent="0.2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4:15" ht="12.75" customHeight="1" x14ac:dyDescent="0.2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4:15" ht="12.75" customHeight="1" x14ac:dyDescent="0.2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4:15" ht="12.75" customHeight="1" x14ac:dyDescent="0.2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4:15" ht="12.75" customHeight="1" x14ac:dyDescent="0.2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4:15" ht="12.75" customHeight="1" x14ac:dyDescent="0.2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4:15" ht="12.75" customHeight="1" x14ac:dyDescent="0.2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4:15" ht="12.75" customHeight="1" x14ac:dyDescent="0.2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4:15" ht="12.75" customHeight="1" x14ac:dyDescent="0.2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4:15" ht="12.75" customHeight="1" x14ac:dyDescent="0.2"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4:15" ht="12.75" customHeight="1" x14ac:dyDescent="0.2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4:15" ht="12.75" customHeight="1" x14ac:dyDescent="0.2"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4:15" ht="12.75" customHeight="1" x14ac:dyDescent="0.2"/>
    <row r="85" spans="4:15" ht="12.75" customHeight="1" x14ac:dyDescent="0.2"/>
    <row r="86" spans="4:15" ht="12.75" customHeight="1" x14ac:dyDescent="0.2"/>
    <row r="87" spans="4:15" ht="12.75" customHeight="1" x14ac:dyDescent="0.2"/>
    <row r="88" spans="4:15" ht="12.75" customHeight="1" x14ac:dyDescent="0.2"/>
    <row r="89" spans="4:15" ht="12.75" customHeight="1" x14ac:dyDescent="0.2"/>
    <row r="90" spans="4:15" ht="12.75" customHeight="1" x14ac:dyDescent="0.2"/>
    <row r="91" spans="4:15" ht="12.75" customHeight="1" x14ac:dyDescent="0.2"/>
    <row r="92" spans="4:15" ht="12.75" customHeight="1" x14ac:dyDescent="0.2"/>
    <row r="93" spans="4:15" ht="12.75" customHeight="1" x14ac:dyDescent="0.2"/>
    <row r="94" spans="4:15" ht="12.75" customHeight="1" x14ac:dyDescent="0.2"/>
    <row r="95" spans="4:15" ht="12.75" customHeight="1" x14ac:dyDescent="0.2"/>
    <row r="96" spans="4:15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44">
    <mergeCell ref="M58:N58"/>
    <mergeCell ref="M56:N56"/>
    <mergeCell ref="C57:D57"/>
    <mergeCell ref="E57:F57"/>
    <mergeCell ref="G57:H57"/>
    <mergeCell ref="I57:J57"/>
    <mergeCell ref="K57:L57"/>
    <mergeCell ref="M57:N57"/>
    <mergeCell ref="C58:D58"/>
    <mergeCell ref="E58:F58"/>
    <mergeCell ref="G58:H58"/>
    <mergeCell ref="I58:J58"/>
    <mergeCell ref="K58:L58"/>
    <mergeCell ref="K55:L55"/>
    <mergeCell ref="C56:D56"/>
    <mergeCell ref="E56:F56"/>
    <mergeCell ref="G56:H56"/>
    <mergeCell ref="I56:J56"/>
    <mergeCell ref="K56:L56"/>
    <mergeCell ref="C54:D55"/>
    <mergeCell ref="E54:F55"/>
    <mergeCell ref="G54:L54"/>
    <mergeCell ref="M54:N55"/>
    <mergeCell ref="G55:H55"/>
    <mergeCell ref="C21:C22"/>
    <mergeCell ref="D21:D22"/>
    <mergeCell ref="E21:P21"/>
    <mergeCell ref="C42:J42"/>
    <mergeCell ref="C43:D43"/>
    <mergeCell ref="E43:F43"/>
    <mergeCell ref="G43:H43"/>
    <mergeCell ref="I43:J43"/>
    <mergeCell ref="C44:D44"/>
    <mergeCell ref="E44:F44"/>
    <mergeCell ref="G44:H44"/>
    <mergeCell ref="I44:J44"/>
    <mergeCell ref="C53:N53"/>
    <mergeCell ref="I55:J55"/>
    <mergeCell ref="C3:P4"/>
    <mergeCell ref="D5:P5"/>
    <mergeCell ref="C6:C7"/>
    <mergeCell ref="D6:D7"/>
    <mergeCell ref="E6:O6"/>
    <mergeCell ref="P6:P7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A789C-BBC3-4088-95D8-7567C9B86E97}">
  <dimension ref="A1:Z1001"/>
  <sheetViews>
    <sheetView showGridLines="0" topLeftCell="F46" zoomScale="50" zoomScaleNormal="50" workbookViewId="0">
      <selection activeCell="T21" sqref="T21"/>
    </sheetView>
  </sheetViews>
  <sheetFormatPr defaultColWidth="14.42578125" defaultRowHeight="15" customHeight="1" x14ac:dyDescent="0.2"/>
  <cols>
    <col min="1" max="2" width="8" customWidth="1"/>
    <col min="3" max="3" width="138.28515625" customWidth="1"/>
    <col min="4" max="16" width="29.7109375" customWidth="1"/>
    <col min="17" max="17" width="8" customWidth="1"/>
    <col min="18" max="18" width="25.85546875" customWidth="1"/>
    <col min="19" max="26" width="8" customWidth="1"/>
  </cols>
  <sheetData>
    <row r="1" spans="1:26" ht="83.25" customHeight="1" x14ac:dyDescent="0.2"/>
    <row r="2" spans="1:26" ht="13.5" customHeight="1" x14ac:dyDescent="0.2"/>
    <row r="3" spans="1:26" ht="37.5" customHeight="1" x14ac:dyDescent="0.2">
      <c r="C3" s="44" t="s">
        <v>0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</row>
    <row r="4" spans="1:26" ht="37.5" customHeight="1" x14ac:dyDescent="0.2"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</row>
    <row r="5" spans="1:26" ht="69.75" customHeight="1" x14ac:dyDescent="0.2">
      <c r="A5" s="1"/>
      <c r="B5" s="1"/>
      <c r="C5" s="26"/>
      <c r="D5" s="86" t="s">
        <v>58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8" customHeight="1" x14ac:dyDescent="0.2">
      <c r="C6" s="53" t="s">
        <v>1</v>
      </c>
      <c r="D6" s="53" t="s">
        <v>2</v>
      </c>
      <c r="E6" s="55" t="s">
        <v>3</v>
      </c>
      <c r="F6" s="51"/>
      <c r="G6" s="51"/>
      <c r="H6" s="51"/>
      <c r="I6" s="51"/>
      <c r="J6" s="51"/>
      <c r="K6" s="51"/>
      <c r="L6" s="51"/>
      <c r="M6" s="51"/>
      <c r="N6" s="51"/>
      <c r="O6" s="52"/>
      <c r="P6" s="53" t="s">
        <v>4</v>
      </c>
    </row>
    <row r="7" spans="1:26" ht="60.75" customHeight="1" x14ac:dyDescent="0.2">
      <c r="A7" s="2"/>
      <c r="B7" s="2"/>
      <c r="C7" s="54"/>
      <c r="D7" s="54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70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4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1.25" customHeight="1" x14ac:dyDescent="0.4">
      <c r="A8" s="4"/>
      <c r="B8" s="4"/>
      <c r="C8" s="28" t="s">
        <v>16</v>
      </c>
      <c r="D8" s="6"/>
      <c r="E8" s="5">
        <v>1030</v>
      </c>
      <c r="F8" s="5">
        <v>1615</v>
      </c>
      <c r="G8" s="5">
        <v>1330</v>
      </c>
      <c r="H8" s="5">
        <v>1350</v>
      </c>
      <c r="I8" s="5">
        <v>750</v>
      </c>
      <c r="J8" s="5">
        <v>0</v>
      </c>
      <c r="K8" s="5">
        <v>540</v>
      </c>
      <c r="L8" s="5">
        <v>440</v>
      </c>
      <c r="M8" s="5">
        <v>180</v>
      </c>
      <c r="N8" s="5">
        <v>280</v>
      </c>
      <c r="O8" s="5">
        <v>180</v>
      </c>
      <c r="P8" s="27">
        <f t="shared" ref="P8:P19" si="0">SUM(D8:O8)</f>
        <v>7695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41.25" customHeight="1" x14ac:dyDescent="0.4">
      <c r="A9" s="4"/>
      <c r="B9" s="4"/>
      <c r="C9" s="28" t="s">
        <v>17</v>
      </c>
      <c r="D9" s="6"/>
      <c r="E9" s="5">
        <v>6950</v>
      </c>
      <c r="F9" s="5">
        <v>17450.11</v>
      </c>
      <c r="G9" s="5">
        <v>14399.04</v>
      </c>
      <c r="H9" s="5">
        <v>10215.69</v>
      </c>
      <c r="I9" s="5">
        <v>7951.55</v>
      </c>
      <c r="J9" s="5">
        <v>1057.3499999999999</v>
      </c>
      <c r="K9" s="5">
        <v>6090.91</v>
      </c>
      <c r="L9" s="5">
        <v>4072.05</v>
      </c>
      <c r="M9" s="5">
        <f>857.18</f>
        <v>857.18</v>
      </c>
      <c r="N9" s="5">
        <v>0</v>
      </c>
      <c r="O9" s="5">
        <v>1958.51</v>
      </c>
      <c r="P9" s="27">
        <f t="shared" si="0"/>
        <v>71002.39</v>
      </c>
      <c r="Q9" s="4" t="s">
        <v>18</v>
      </c>
      <c r="R9" s="4"/>
      <c r="S9" s="4"/>
      <c r="T9" s="4"/>
      <c r="U9" s="4"/>
      <c r="V9" s="4"/>
      <c r="W9" s="4"/>
      <c r="X9" s="4"/>
      <c r="Y9" s="4"/>
      <c r="Z9" s="4"/>
    </row>
    <row r="10" spans="1:26" ht="41.25" customHeight="1" x14ac:dyDescent="0.4">
      <c r="A10" s="4"/>
      <c r="B10" s="4"/>
      <c r="C10" s="28" t="s">
        <v>19</v>
      </c>
      <c r="D10" s="6"/>
      <c r="E10" s="5">
        <v>-5181.17</v>
      </c>
      <c r="F10" s="5">
        <v>0</v>
      </c>
      <c r="G10" s="5">
        <v>-2535.58</v>
      </c>
      <c r="H10" s="5">
        <v>-964.48</v>
      </c>
      <c r="I10" s="5">
        <v>-2999.68</v>
      </c>
      <c r="J10" s="5">
        <v>0</v>
      </c>
      <c r="K10" s="5">
        <v>15.21</v>
      </c>
      <c r="L10" s="5">
        <v>0</v>
      </c>
      <c r="M10" s="5">
        <v>0</v>
      </c>
      <c r="N10" s="5">
        <v>0</v>
      </c>
      <c r="O10" s="5">
        <v>0</v>
      </c>
      <c r="P10" s="27">
        <f t="shared" si="0"/>
        <v>-11665.7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41.25" customHeight="1" x14ac:dyDescent="0.4">
      <c r="A11" s="4"/>
      <c r="B11" s="4"/>
      <c r="C11" s="28" t="s">
        <v>20</v>
      </c>
      <c r="D11" s="6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27">
        <f t="shared" si="0"/>
        <v>0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41.25" customHeight="1" x14ac:dyDescent="0.4">
      <c r="A12" s="4"/>
      <c r="B12" s="4"/>
      <c r="C12" s="39" t="s">
        <v>65</v>
      </c>
      <c r="D12" s="6">
        <f>0.61+1.4+0.06+0.29-0.28</f>
        <v>2.08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27">
        <f t="shared" si="0"/>
        <v>2.08</v>
      </c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41.25" customHeight="1" x14ac:dyDescent="0.4">
      <c r="A13" s="4"/>
      <c r="B13" s="4"/>
      <c r="C13" s="39" t="s">
        <v>54</v>
      </c>
      <c r="D13" s="5">
        <f>11.32+6.42+6.63</f>
        <v>24.37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27">
        <f t="shared" si="0"/>
        <v>24.37</v>
      </c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41.25" customHeight="1" x14ac:dyDescent="0.4">
      <c r="A14" s="4"/>
      <c r="B14" s="4"/>
      <c r="C14" s="28" t="s">
        <v>21</v>
      </c>
      <c r="D14" s="6"/>
      <c r="E14" s="5">
        <v>0</v>
      </c>
      <c r="F14" s="7">
        <v>0</v>
      </c>
      <c r="G14" s="6">
        <v>0</v>
      </c>
      <c r="H14" s="6">
        <v>0</v>
      </c>
      <c r="I14" s="6">
        <v>0</v>
      </c>
      <c r="J14" s="7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27">
        <f t="shared" si="0"/>
        <v>0</v>
      </c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41.25" customHeight="1" x14ac:dyDescent="0.4">
      <c r="A15" s="4"/>
      <c r="B15" s="4"/>
      <c r="C15" s="39" t="s">
        <v>22</v>
      </c>
      <c r="D15" s="6"/>
      <c r="E15" s="5">
        <v>0</v>
      </c>
      <c r="F15" s="7">
        <v>0</v>
      </c>
      <c r="G15" s="6">
        <v>0</v>
      </c>
      <c r="H15" s="6">
        <v>0</v>
      </c>
      <c r="I15" s="6">
        <v>0</v>
      </c>
      <c r="J15" s="7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27">
        <f t="shared" si="0"/>
        <v>0</v>
      </c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41.25" customHeight="1" x14ac:dyDescent="0.4">
      <c r="A16" s="4"/>
      <c r="B16" s="4"/>
      <c r="C16" s="39" t="s">
        <v>66</v>
      </c>
      <c r="D16" s="5">
        <f>3300</f>
        <v>3300</v>
      </c>
      <c r="E16" s="5">
        <v>1100</v>
      </c>
      <c r="F16" s="5">
        <v>0</v>
      </c>
      <c r="G16" s="5">
        <v>1310</v>
      </c>
      <c r="H16" s="5">
        <v>930</v>
      </c>
      <c r="I16" s="7">
        <v>0</v>
      </c>
      <c r="J16" s="7">
        <v>100</v>
      </c>
      <c r="K16" s="5">
        <v>1360</v>
      </c>
      <c r="L16" s="5">
        <v>90</v>
      </c>
      <c r="M16" s="5">
        <v>30</v>
      </c>
      <c r="N16" s="5">
        <v>340</v>
      </c>
      <c r="O16" s="7">
        <v>160</v>
      </c>
      <c r="P16" s="27">
        <f t="shared" si="0"/>
        <v>8720</v>
      </c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41.25" customHeight="1" x14ac:dyDescent="0.4">
      <c r="A17" s="4"/>
      <c r="B17" s="4"/>
      <c r="C17" s="28" t="s">
        <v>23</v>
      </c>
      <c r="D17" s="5"/>
      <c r="E17" s="5">
        <f>2309.51+197.28</f>
        <v>2506.7900000000004</v>
      </c>
      <c r="F17" s="5">
        <f>272.79-1802.14</f>
        <v>-1529.3500000000001</v>
      </c>
      <c r="G17" s="5">
        <f>562.85+39.31-12.76</f>
        <v>589.40000000000009</v>
      </c>
      <c r="H17" s="5">
        <v>135</v>
      </c>
      <c r="I17" s="7">
        <f>787.75+115.16</f>
        <v>902.91</v>
      </c>
      <c r="J17" s="7">
        <v>-0.01</v>
      </c>
      <c r="K17" s="5">
        <v>0</v>
      </c>
      <c r="L17" s="5">
        <v>-2.68</v>
      </c>
      <c r="M17" s="5">
        <v>0</v>
      </c>
      <c r="N17" s="5">
        <v>0</v>
      </c>
      <c r="O17" s="7">
        <v>61.53</v>
      </c>
      <c r="P17" s="27">
        <f t="shared" si="0"/>
        <v>2663.5900000000006</v>
      </c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41.25" customHeight="1" x14ac:dyDescent="0.4">
      <c r="A18" s="4"/>
      <c r="B18" s="4"/>
      <c r="C18" s="29" t="s">
        <v>50</v>
      </c>
      <c r="D18" s="6"/>
      <c r="E18" s="5">
        <v>0</v>
      </c>
      <c r="F18" s="5">
        <v>-3098.5</v>
      </c>
      <c r="G18" s="5">
        <v>0</v>
      </c>
      <c r="H18" s="6">
        <v>0</v>
      </c>
      <c r="I18" s="7">
        <v>0</v>
      </c>
      <c r="J18" s="7">
        <v>0</v>
      </c>
      <c r="K18" s="6">
        <v>0</v>
      </c>
      <c r="L18" s="6">
        <v>0</v>
      </c>
      <c r="M18" s="6">
        <v>0</v>
      </c>
      <c r="N18" s="6">
        <v>-620</v>
      </c>
      <c r="O18" s="6">
        <v>0</v>
      </c>
      <c r="P18" s="27">
        <f t="shared" si="0"/>
        <v>-3718.5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41.25" customHeight="1" x14ac:dyDescent="0.4">
      <c r="A19" s="4"/>
      <c r="B19" s="4"/>
      <c r="C19" s="30" t="s">
        <v>24</v>
      </c>
      <c r="D19" s="7"/>
      <c r="E19" s="5">
        <v>-528.66</v>
      </c>
      <c r="F19" s="5">
        <v>2544.4699999999998</v>
      </c>
      <c r="G19" s="5">
        <v>580.87</v>
      </c>
      <c r="H19" s="5">
        <v>0</v>
      </c>
      <c r="I19" s="5">
        <v>-33.08</v>
      </c>
      <c r="J19" s="6">
        <v>0</v>
      </c>
      <c r="K19" s="6">
        <v>0</v>
      </c>
      <c r="L19" s="5">
        <v>1.1000000000000001</v>
      </c>
      <c r="M19" s="7">
        <v>0</v>
      </c>
      <c r="N19" s="6">
        <v>0</v>
      </c>
      <c r="O19" s="7">
        <v>0.09</v>
      </c>
      <c r="P19" s="27">
        <f t="shared" si="0"/>
        <v>2564.79</v>
      </c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59.25" customHeight="1" x14ac:dyDescent="0.2">
      <c r="A20" s="1"/>
      <c r="B20" s="1"/>
      <c r="C20" s="31" t="s">
        <v>25</v>
      </c>
      <c r="D20" s="8">
        <f t="shared" ref="D20:P20" si="1">SUM(D8:D19)</f>
        <v>3326.45</v>
      </c>
      <c r="E20" s="8">
        <f t="shared" si="1"/>
        <v>5876.9600000000009</v>
      </c>
      <c r="F20" s="8">
        <f t="shared" si="1"/>
        <v>16981.730000000003</v>
      </c>
      <c r="G20" s="8">
        <f t="shared" si="1"/>
        <v>15673.730000000001</v>
      </c>
      <c r="H20" s="8">
        <f t="shared" si="1"/>
        <v>11666.210000000001</v>
      </c>
      <c r="I20" s="8">
        <f t="shared" si="1"/>
        <v>6571.6999999999989</v>
      </c>
      <c r="J20" s="8">
        <f t="shared" si="1"/>
        <v>1157.3399999999999</v>
      </c>
      <c r="K20" s="8">
        <f t="shared" si="1"/>
        <v>8006.12</v>
      </c>
      <c r="L20" s="8">
        <f t="shared" si="1"/>
        <v>4600.47</v>
      </c>
      <c r="M20" s="8">
        <f t="shared" si="1"/>
        <v>1067.1799999999998</v>
      </c>
      <c r="N20" s="8">
        <f t="shared" si="1"/>
        <v>0</v>
      </c>
      <c r="O20" s="8">
        <f t="shared" si="1"/>
        <v>2360.1300000000006</v>
      </c>
      <c r="P20" s="8">
        <f t="shared" si="1"/>
        <v>77288.01999999999</v>
      </c>
      <c r="Q20" s="1"/>
      <c r="R20" s="32"/>
      <c r="S20" s="1"/>
      <c r="T20" s="1"/>
      <c r="U20" s="1"/>
      <c r="V20" s="1"/>
      <c r="W20" s="1"/>
      <c r="X20" s="1"/>
      <c r="Y20" s="1"/>
      <c r="Z20" s="1"/>
    </row>
    <row r="21" spans="1:26" ht="30" customHeight="1" x14ac:dyDescent="0.2">
      <c r="C21" s="53" t="s">
        <v>26</v>
      </c>
      <c r="D21" s="60" t="s">
        <v>2</v>
      </c>
      <c r="E21" s="6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</row>
    <row r="22" spans="1:26" ht="75.75" customHeight="1" x14ac:dyDescent="0.2">
      <c r="C22" s="54"/>
      <c r="D22" s="54"/>
      <c r="E22" s="21" t="s">
        <v>5</v>
      </c>
      <c r="F22" s="3" t="s">
        <v>6</v>
      </c>
      <c r="G22" s="3" t="s">
        <v>7</v>
      </c>
      <c r="H22" s="3" t="s">
        <v>8</v>
      </c>
      <c r="I22" s="3" t="s">
        <v>9</v>
      </c>
      <c r="J22" s="21" t="s">
        <v>70</v>
      </c>
      <c r="K22" s="3" t="s">
        <v>11</v>
      </c>
      <c r="L22" s="3" t="s">
        <v>12</v>
      </c>
      <c r="M22" s="3" t="s">
        <v>13</v>
      </c>
      <c r="N22" s="3" t="s">
        <v>14</v>
      </c>
      <c r="O22" s="3" t="s">
        <v>15</v>
      </c>
      <c r="P22" s="16" t="s">
        <v>4</v>
      </c>
    </row>
    <row r="23" spans="1:26" ht="41.25" customHeight="1" x14ac:dyDescent="0.2">
      <c r="A23" s="9"/>
      <c r="B23" s="9"/>
      <c r="C23" s="33" t="s">
        <v>27</v>
      </c>
      <c r="D23" s="22">
        <f>(913+781+552.5+1372.8+1477.7+587.25+572+645+2363.9+1097.2+678)+(753.92+497.1+703.3+622.73+436.5+301.7+270+350+45+138+237.89+1558+1977.95+1156.11+1260+3853.16+238+417.5+468+136+660+1305.75+638)</f>
        <v>29064.959999999999</v>
      </c>
      <c r="E23" s="5">
        <v>2909.45</v>
      </c>
      <c r="F23" s="7">
        <f>4314.15+9716.2</f>
        <v>14030.35</v>
      </c>
      <c r="G23" s="5">
        <v>0</v>
      </c>
      <c r="H23" s="6">
        <v>5904.45</v>
      </c>
      <c r="I23" s="7">
        <v>5796.3</v>
      </c>
      <c r="J23" s="5">
        <v>0</v>
      </c>
      <c r="K23" s="6">
        <v>0</v>
      </c>
      <c r="L23" s="5">
        <v>2279</v>
      </c>
      <c r="M23" s="6">
        <v>0</v>
      </c>
      <c r="N23" s="5">
        <v>0</v>
      </c>
      <c r="O23" s="6">
        <v>0</v>
      </c>
      <c r="P23" s="34">
        <f t="shared" ref="P23:P34" si="2">SUM(D23:O23)</f>
        <v>59984.51</v>
      </c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41.25" customHeight="1" x14ac:dyDescent="0.2">
      <c r="A24" s="9"/>
      <c r="B24" s="9"/>
      <c r="C24" s="28" t="s">
        <v>28</v>
      </c>
      <c r="D24" s="36">
        <v>0</v>
      </c>
      <c r="E24" s="5">
        <v>658</v>
      </c>
      <c r="F24" s="5">
        <v>1240</v>
      </c>
      <c r="G24" s="5">
        <v>1175</v>
      </c>
      <c r="H24" s="5">
        <v>472</v>
      </c>
      <c r="I24" s="5">
        <v>775.4</v>
      </c>
      <c r="J24" s="5">
        <v>50</v>
      </c>
      <c r="K24" s="5">
        <v>280</v>
      </c>
      <c r="L24" s="5">
        <v>280</v>
      </c>
      <c r="M24" s="5">
        <v>100</v>
      </c>
      <c r="N24" s="5">
        <v>0</v>
      </c>
      <c r="O24" s="5">
        <v>50</v>
      </c>
      <c r="P24" s="34">
        <f t="shared" si="2"/>
        <v>5080.3999999999996</v>
      </c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40.5" customHeight="1" x14ac:dyDescent="0.2">
      <c r="A25" s="9"/>
      <c r="B25" s="9"/>
      <c r="C25" s="28" t="s">
        <v>29</v>
      </c>
      <c r="D25" s="36">
        <f>1040+200+157.23</f>
        <v>1397.23</v>
      </c>
      <c r="E25" s="5">
        <v>0</v>
      </c>
      <c r="F25" s="5">
        <v>0</v>
      </c>
      <c r="G25" s="5">
        <v>307.8</v>
      </c>
      <c r="H25" s="6">
        <v>0</v>
      </c>
      <c r="I25" s="6">
        <v>0</v>
      </c>
      <c r="J25" s="5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34">
        <f t="shared" si="2"/>
        <v>1705.03</v>
      </c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41.25" customHeight="1" x14ac:dyDescent="0.2">
      <c r="A26" s="9"/>
      <c r="B26" s="9"/>
      <c r="C26" s="28" t="s">
        <v>30</v>
      </c>
      <c r="D26" s="23">
        <f>140</f>
        <v>140</v>
      </c>
      <c r="E26" s="5">
        <v>0</v>
      </c>
      <c r="F26" s="6">
        <v>0</v>
      </c>
      <c r="G26" s="5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4">
        <f t="shared" si="2"/>
        <v>140</v>
      </c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41.25" customHeight="1" x14ac:dyDescent="0.2">
      <c r="A27" s="9"/>
      <c r="B27" s="9"/>
      <c r="C27" s="30" t="s">
        <v>51</v>
      </c>
      <c r="D27" s="22">
        <v>900</v>
      </c>
      <c r="E27" s="6">
        <v>0</v>
      </c>
      <c r="F27" s="7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4">
        <f t="shared" si="2"/>
        <v>900</v>
      </c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41.25" customHeight="1" x14ac:dyDescent="0.2">
      <c r="A28" s="9"/>
      <c r="B28" s="9"/>
      <c r="C28" s="29" t="s">
        <v>48</v>
      </c>
      <c r="D28" s="23">
        <v>0</v>
      </c>
      <c r="E28" s="6">
        <v>0</v>
      </c>
      <c r="F28" s="5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4">
        <f t="shared" si="2"/>
        <v>0</v>
      </c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41.25" customHeight="1" x14ac:dyDescent="0.2">
      <c r="A29" s="9"/>
      <c r="B29" s="9"/>
      <c r="C29" s="28" t="s">
        <v>31</v>
      </c>
      <c r="D29" s="22">
        <f>5000+3500+4000</f>
        <v>12500</v>
      </c>
      <c r="E29" s="6">
        <v>0</v>
      </c>
      <c r="F29" s="6">
        <v>0</v>
      </c>
      <c r="G29" s="5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4">
        <f t="shared" si="2"/>
        <v>12500</v>
      </c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41.25" customHeight="1" x14ac:dyDescent="0.2">
      <c r="A30" s="9"/>
      <c r="B30" s="9"/>
      <c r="C30" s="39" t="s">
        <v>32</v>
      </c>
      <c r="D30" s="22">
        <v>41.9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4">
        <f t="shared" si="2"/>
        <v>41.9</v>
      </c>
      <c r="Q30" s="9"/>
      <c r="R30" s="10"/>
      <c r="S30" s="9"/>
      <c r="T30" s="9"/>
      <c r="U30" s="9"/>
      <c r="V30" s="9"/>
      <c r="W30" s="9"/>
      <c r="X30" s="9"/>
      <c r="Y30" s="9"/>
      <c r="Z30" s="9"/>
    </row>
    <row r="31" spans="1:26" ht="41.25" customHeight="1" x14ac:dyDescent="0.2">
      <c r="A31" s="9"/>
      <c r="B31" s="9"/>
      <c r="C31" s="39" t="s">
        <v>55</v>
      </c>
      <c r="D31" s="22">
        <f>1.2*4</f>
        <v>4.8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4">
        <f t="shared" si="2"/>
        <v>4.8</v>
      </c>
      <c r="Q31" s="9"/>
      <c r="R31" s="10"/>
      <c r="S31" s="9"/>
      <c r="T31" s="9"/>
      <c r="U31" s="9"/>
      <c r="V31" s="9"/>
      <c r="W31" s="9"/>
      <c r="X31" s="9"/>
      <c r="Y31" s="9"/>
      <c r="Z31" s="9"/>
    </row>
    <row r="32" spans="1:26" ht="41.25" customHeight="1" x14ac:dyDescent="0.2">
      <c r="A32" s="9"/>
      <c r="B32" s="9"/>
      <c r="C32" s="39" t="s">
        <v>33</v>
      </c>
      <c r="D32" s="22">
        <v>2.86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4">
        <f t="shared" si="2"/>
        <v>2.86</v>
      </c>
      <c r="Q32" s="9"/>
      <c r="R32" s="10"/>
      <c r="S32" s="9"/>
      <c r="T32" s="9"/>
      <c r="U32" s="9"/>
      <c r="V32" s="9"/>
      <c r="W32" s="9"/>
      <c r="X32" s="9"/>
      <c r="Y32" s="9"/>
      <c r="Z32" s="9"/>
    </row>
    <row r="33" spans="1:26" ht="41.25" customHeight="1" x14ac:dyDescent="0.2">
      <c r="A33" s="9"/>
      <c r="B33" s="9"/>
      <c r="C33" s="30" t="s">
        <v>49</v>
      </c>
      <c r="D33" s="22">
        <v>0</v>
      </c>
      <c r="E33" s="6">
        <v>0</v>
      </c>
      <c r="F33" s="6">
        <v>0</v>
      </c>
      <c r="G33" s="5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4">
        <f t="shared" si="2"/>
        <v>0</v>
      </c>
      <c r="Q33" s="9"/>
      <c r="R33" s="10"/>
      <c r="S33" s="9"/>
      <c r="T33" s="9"/>
      <c r="U33" s="9"/>
      <c r="V33" s="9"/>
      <c r="W33" s="9"/>
      <c r="X33" s="9"/>
      <c r="Y33" s="9"/>
      <c r="Z33" s="9"/>
    </row>
    <row r="34" spans="1:26" ht="41.25" customHeight="1" x14ac:dyDescent="0.2">
      <c r="A34" s="9"/>
      <c r="B34" s="9"/>
      <c r="C34" s="11" t="s">
        <v>34</v>
      </c>
      <c r="D34" s="23">
        <v>0</v>
      </c>
      <c r="E34" s="5">
        <v>0</v>
      </c>
      <c r="F34" s="7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4">
        <f t="shared" si="2"/>
        <v>0</v>
      </c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60.75" customHeight="1" x14ac:dyDescent="0.2">
      <c r="A35" s="12"/>
      <c r="B35" s="12"/>
      <c r="C35" s="31" t="s">
        <v>35</v>
      </c>
      <c r="D35" s="13">
        <f t="shared" ref="D35:P35" si="3">SUM(D23:D34)</f>
        <v>44051.750000000007</v>
      </c>
      <c r="E35" s="13">
        <f t="shared" si="3"/>
        <v>3567.45</v>
      </c>
      <c r="F35" s="13">
        <f t="shared" si="3"/>
        <v>15270.35</v>
      </c>
      <c r="G35" s="13">
        <f t="shared" si="3"/>
        <v>1482.8</v>
      </c>
      <c r="H35" s="13">
        <f t="shared" si="3"/>
        <v>6376.45</v>
      </c>
      <c r="I35" s="13">
        <f t="shared" si="3"/>
        <v>6571.7</v>
      </c>
      <c r="J35" s="13">
        <f t="shared" si="3"/>
        <v>50</v>
      </c>
      <c r="K35" s="13">
        <f t="shared" si="3"/>
        <v>280</v>
      </c>
      <c r="L35" s="13">
        <f t="shared" si="3"/>
        <v>2559</v>
      </c>
      <c r="M35" s="13">
        <f t="shared" si="3"/>
        <v>100</v>
      </c>
      <c r="N35" s="13">
        <f t="shared" si="3"/>
        <v>0</v>
      </c>
      <c r="O35" s="13">
        <f t="shared" si="3"/>
        <v>50</v>
      </c>
      <c r="P35" s="13">
        <f t="shared" si="3"/>
        <v>80359.5</v>
      </c>
      <c r="Q35" s="12"/>
      <c r="R35" s="14"/>
      <c r="S35" s="12"/>
      <c r="T35" s="12"/>
      <c r="U35" s="12"/>
      <c r="V35" s="12"/>
      <c r="W35" s="12"/>
      <c r="X35" s="12"/>
      <c r="Y35" s="12"/>
      <c r="Z35" s="12"/>
    </row>
    <row r="36" spans="1:26" ht="59.25" customHeight="1" x14ac:dyDescent="0.2">
      <c r="A36" s="1"/>
      <c r="B36" s="1"/>
      <c r="C36" s="38" t="s">
        <v>36</v>
      </c>
      <c r="D36" s="15"/>
      <c r="E36" s="15">
        <f t="shared" ref="E36:O36" si="4">E20-E35</f>
        <v>2309.5100000000011</v>
      </c>
      <c r="F36" s="15">
        <f t="shared" si="4"/>
        <v>1711.3800000000028</v>
      </c>
      <c r="G36" s="15">
        <f t="shared" si="4"/>
        <v>14190.930000000002</v>
      </c>
      <c r="H36" s="15">
        <f t="shared" si="4"/>
        <v>5289.7600000000011</v>
      </c>
      <c r="I36" s="15">
        <f t="shared" si="4"/>
        <v>0</v>
      </c>
      <c r="J36" s="15">
        <f t="shared" si="4"/>
        <v>1107.3399999999999</v>
      </c>
      <c r="K36" s="15">
        <f t="shared" si="4"/>
        <v>7726.12</v>
      </c>
      <c r="L36" s="15">
        <f t="shared" si="4"/>
        <v>2041.4700000000003</v>
      </c>
      <c r="M36" s="15">
        <f t="shared" si="4"/>
        <v>967.17999999999984</v>
      </c>
      <c r="N36" s="15">
        <f t="shared" si="4"/>
        <v>0</v>
      </c>
      <c r="O36" s="15">
        <f t="shared" si="4"/>
        <v>2310.1300000000006</v>
      </c>
      <c r="P36" s="15">
        <f>SUM(E36:O36)</f>
        <v>37653.820000000007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4.25" customHeight="1" x14ac:dyDescent="0.2">
      <c r="A37" s="1"/>
      <c r="B37" s="1"/>
      <c r="C37" s="35" t="s">
        <v>52</v>
      </c>
      <c r="D37" s="17"/>
      <c r="E37" s="17">
        <v>2309.5100000000002</v>
      </c>
      <c r="F37" s="17">
        <f>617.15+96.59+451.77+192+353.87</f>
        <v>1711.38</v>
      </c>
      <c r="G37" s="25">
        <f>3300+7000+3500+93.77+116.03+181.13</f>
        <v>14190.93</v>
      </c>
      <c r="H37" s="24">
        <f>1435.36+3854.4</f>
        <v>5289.76</v>
      </c>
      <c r="I37" s="24">
        <v>0</v>
      </c>
      <c r="J37" s="25">
        <f>754.28+147+206.06</f>
        <v>1107.3399999999999</v>
      </c>
      <c r="K37" s="25">
        <v>7726.12</v>
      </c>
      <c r="L37" s="25">
        <v>2041.47</v>
      </c>
      <c r="M37" s="24">
        <v>967.18</v>
      </c>
      <c r="N37" s="24">
        <v>0</v>
      </c>
      <c r="O37" s="25">
        <v>2310.13</v>
      </c>
      <c r="P37" s="17">
        <f>SUM(E37:O37)</f>
        <v>37653.82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0.5" customHeight="1" x14ac:dyDescent="0.45"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26" ht="12.75" customHeight="1" x14ac:dyDescent="0.2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26" ht="12.75" customHeight="1" x14ac:dyDescent="0.2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26" ht="13.5" customHeight="1" thickBot="1" x14ac:dyDescent="0.25"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26" ht="45" customHeight="1" x14ac:dyDescent="0.2">
      <c r="C42" s="62" t="s">
        <v>37</v>
      </c>
      <c r="D42" s="63"/>
      <c r="E42" s="63"/>
      <c r="F42" s="63"/>
      <c r="G42" s="63"/>
      <c r="H42" s="63"/>
      <c r="I42" s="63"/>
      <c r="J42" s="64"/>
      <c r="K42" s="19"/>
      <c r="L42" s="19"/>
      <c r="M42" s="19"/>
    </row>
    <row r="43" spans="1:26" ht="34.5" customHeight="1" x14ac:dyDescent="0.2">
      <c r="C43" s="65" t="s">
        <v>38</v>
      </c>
      <c r="D43" s="52"/>
      <c r="E43" s="66">
        <v>0.03</v>
      </c>
      <c r="F43" s="52"/>
      <c r="G43" s="66">
        <v>0.02</v>
      </c>
      <c r="H43" s="52"/>
      <c r="I43" s="59" t="s">
        <v>4</v>
      </c>
      <c r="J43" s="67"/>
      <c r="K43" s="19"/>
      <c r="L43" s="19"/>
      <c r="M43" s="19"/>
    </row>
    <row r="44" spans="1:26" ht="36" customHeight="1" thickBot="1" x14ac:dyDescent="0.25">
      <c r="C44" s="68" t="s">
        <v>39</v>
      </c>
      <c r="D44" s="69"/>
      <c r="E44" s="70">
        <f>P9*0.03</f>
        <v>2130.0717</v>
      </c>
      <c r="F44" s="69"/>
      <c r="G44" s="70">
        <f>P9*0.02</f>
        <v>1420.0478000000001</v>
      </c>
      <c r="H44" s="69"/>
      <c r="I44" s="71">
        <f>SUM(E44:H44)</f>
        <v>3550.1194999999998</v>
      </c>
      <c r="J44" s="72"/>
      <c r="K44" s="19"/>
      <c r="L44" s="19"/>
      <c r="M44" s="19"/>
    </row>
    <row r="45" spans="1:26" ht="12.75" customHeight="1" x14ac:dyDescent="0.2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26" ht="12.75" customHeight="1" x14ac:dyDescent="0.2"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26" ht="12.75" customHeight="1" x14ac:dyDescent="0.2"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26" ht="12.75" customHeight="1" x14ac:dyDescent="0.2"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3:17" ht="12.75" customHeight="1" x14ac:dyDescent="0.2"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3:17" ht="12.75" customHeight="1" x14ac:dyDescent="0.2"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3:17" ht="12.75" customHeight="1" x14ac:dyDescent="0.2"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3:17" ht="13.5" customHeight="1" thickBot="1" x14ac:dyDescent="0.25"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3:17" ht="59.25" customHeight="1" x14ac:dyDescent="0.2">
      <c r="C53" s="62" t="s">
        <v>40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4"/>
      <c r="O53" s="19"/>
    </row>
    <row r="54" spans="3:17" ht="59.25" customHeight="1" x14ac:dyDescent="0.2">
      <c r="C54" s="79" t="s">
        <v>41</v>
      </c>
      <c r="D54" s="46"/>
      <c r="E54" s="56" t="s">
        <v>42</v>
      </c>
      <c r="F54" s="46"/>
      <c r="G54" s="81" t="s">
        <v>43</v>
      </c>
      <c r="H54" s="51"/>
      <c r="I54" s="51"/>
      <c r="J54" s="51"/>
      <c r="K54" s="51"/>
      <c r="L54" s="52"/>
      <c r="M54" s="56" t="s">
        <v>44</v>
      </c>
      <c r="N54" s="57"/>
      <c r="O54" s="19"/>
    </row>
    <row r="55" spans="3:17" ht="41.25" customHeight="1" x14ac:dyDescent="0.2">
      <c r="C55" s="80"/>
      <c r="D55" s="49"/>
      <c r="E55" s="47"/>
      <c r="F55" s="49"/>
      <c r="G55" s="59" t="s">
        <v>45</v>
      </c>
      <c r="H55" s="52"/>
      <c r="I55" s="59" t="s">
        <v>46</v>
      </c>
      <c r="J55" s="52"/>
      <c r="K55" s="59" t="s">
        <v>36</v>
      </c>
      <c r="L55" s="52"/>
      <c r="M55" s="47"/>
      <c r="N55" s="58"/>
      <c r="O55" s="19"/>
      <c r="P55" s="19"/>
      <c r="Q55" s="19"/>
    </row>
    <row r="56" spans="3:17" ht="41.25" customHeight="1" x14ac:dyDescent="0.2">
      <c r="C56" s="73" t="s">
        <v>47</v>
      </c>
      <c r="D56" s="52"/>
      <c r="E56" s="74">
        <v>1803.67</v>
      </c>
      <c r="F56" s="52"/>
      <c r="G56" s="75">
        <v>21178.91</v>
      </c>
      <c r="H56" s="52"/>
      <c r="I56" s="76">
        <v>-19705.88</v>
      </c>
      <c r="J56" s="52"/>
      <c r="K56" s="83">
        <f t="shared" ref="K56" si="5">G56+I56</f>
        <v>1473.0299999999988</v>
      </c>
      <c r="L56" s="52"/>
      <c r="M56" s="82">
        <f>E56+K56</f>
        <v>3276.6999999999989</v>
      </c>
      <c r="N56" s="67"/>
      <c r="O56" s="19"/>
      <c r="P56" s="19"/>
      <c r="Q56" s="19"/>
    </row>
    <row r="57" spans="3:17" ht="41.25" customHeight="1" x14ac:dyDescent="0.2">
      <c r="C57" s="73" t="s">
        <v>53</v>
      </c>
      <c r="D57" s="52"/>
      <c r="E57" s="74">
        <v>34185.4</v>
      </c>
      <c r="F57" s="52"/>
      <c r="G57" s="75">
        <v>20001.64</v>
      </c>
      <c r="H57" s="52"/>
      <c r="I57" s="76">
        <v>-21625.75</v>
      </c>
      <c r="J57" s="52"/>
      <c r="K57" s="83">
        <f t="shared" ref="K57" si="6">G57+I57</f>
        <v>-1624.1100000000006</v>
      </c>
      <c r="L57" s="52"/>
      <c r="M57" s="82">
        <f t="shared" ref="M57:M58" si="7">E57+K57</f>
        <v>32561.29</v>
      </c>
      <c r="N57" s="67"/>
      <c r="O57" s="19"/>
      <c r="P57" s="20"/>
      <c r="Q57" s="19"/>
    </row>
    <row r="58" spans="3:17" ht="60.75" customHeight="1" thickBot="1" x14ac:dyDescent="0.25">
      <c r="C58" s="68" t="s">
        <v>4</v>
      </c>
      <c r="D58" s="69"/>
      <c r="E58" s="70">
        <f>SUM(E56:F57)</f>
        <v>35989.07</v>
      </c>
      <c r="F58" s="69"/>
      <c r="G58" s="70">
        <f>SUM(G56:H57)</f>
        <v>41180.550000000003</v>
      </c>
      <c r="H58" s="69"/>
      <c r="I58" s="84">
        <f>SUM(I56:J57)</f>
        <v>-41331.630000000005</v>
      </c>
      <c r="J58" s="69"/>
      <c r="K58" s="71">
        <f>SUM(K56:L57)</f>
        <v>-151.08000000000175</v>
      </c>
      <c r="L58" s="69"/>
      <c r="M58" s="70">
        <f t="shared" si="7"/>
        <v>35837.99</v>
      </c>
      <c r="N58" s="72"/>
      <c r="O58" s="19"/>
      <c r="P58" s="19"/>
      <c r="Q58" s="19"/>
    </row>
    <row r="59" spans="3:17" ht="12.75" customHeight="1" x14ac:dyDescent="0.2"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3:17" ht="12.75" customHeight="1" x14ac:dyDescent="0.2"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3:17" ht="12.75" customHeight="1" x14ac:dyDescent="0.2"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3:17" ht="12.75" customHeight="1" x14ac:dyDescent="0.2"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3:17" ht="12.75" customHeight="1" x14ac:dyDescent="0.2"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3:17" ht="12.75" customHeight="1" x14ac:dyDescent="0.2"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4:15" ht="12.75" customHeight="1" x14ac:dyDescent="0.2"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4:15" ht="12.75" customHeight="1" x14ac:dyDescent="0.2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4:15" ht="12.75" customHeight="1" x14ac:dyDescent="0.2"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4:15" ht="12.75" customHeight="1" x14ac:dyDescent="0.2"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4:15" ht="12.75" customHeight="1" x14ac:dyDescent="0.2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4:15" ht="12.75" customHeight="1" x14ac:dyDescent="0.2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4:15" ht="12.75" customHeight="1" x14ac:dyDescent="0.2"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4:15" ht="12.75" customHeight="1" x14ac:dyDescent="0.2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4:15" ht="12.75" customHeight="1" x14ac:dyDescent="0.2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4:15" ht="12.75" customHeight="1" x14ac:dyDescent="0.2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4:15" ht="12.75" customHeight="1" x14ac:dyDescent="0.2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4:15" ht="12.75" customHeight="1" x14ac:dyDescent="0.2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4:15" ht="12.75" customHeight="1" x14ac:dyDescent="0.2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4:15" ht="12.75" customHeight="1" x14ac:dyDescent="0.2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4:15" ht="12.75" customHeight="1" x14ac:dyDescent="0.2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4:15" ht="12.75" customHeight="1" x14ac:dyDescent="0.2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4:15" ht="12.75" customHeight="1" x14ac:dyDescent="0.2"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4:15" ht="12.75" customHeight="1" x14ac:dyDescent="0.2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4:15" ht="12.75" customHeight="1" x14ac:dyDescent="0.2"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4:15" ht="12.75" customHeight="1" x14ac:dyDescent="0.2"/>
    <row r="85" spans="4:15" ht="12.75" customHeight="1" x14ac:dyDescent="0.2"/>
    <row r="86" spans="4:15" ht="12.75" customHeight="1" x14ac:dyDescent="0.2"/>
    <row r="87" spans="4:15" ht="12.75" customHeight="1" x14ac:dyDescent="0.2"/>
    <row r="88" spans="4:15" ht="12.75" customHeight="1" x14ac:dyDescent="0.2"/>
    <row r="89" spans="4:15" ht="12.75" customHeight="1" x14ac:dyDescent="0.2"/>
    <row r="90" spans="4:15" ht="12.75" customHeight="1" x14ac:dyDescent="0.2"/>
    <row r="91" spans="4:15" ht="12.75" customHeight="1" x14ac:dyDescent="0.2"/>
    <row r="92" spans="4:15" ht="12.75" customHeight="1" x14ac:dyDescent="0.2"/>
    <row r="93" spans="4:15" ht="12.75" customHeight="1" x14ac:dyDescent="0.2"/>
    <row r="94" spans="4:15" ht="12.75" customHeight="1" x14ac:dyDescent="0.2"/>
    <row r="95" spans="4:15" ht="12.75" customHeight="1" x14ac:dyDescent="0.2"/>
    <row r="96" spans="4:15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44">
    <mergeCell ref="M58:N58"/>
    <mergeCell ref="M56:N56"/>
    <mergeCell ref="C57:D57"/>
    <mergeCell ref="E57:F57"/>
    <mergeCell ref="G57:H57"/>
    <mergeCell ref="I57:J57"/>
    <mergeCell ref="K57:L57"/>
    <mergeCell ref="M57:N57"/>
    <mergeCell ref="C58:D58"/>
    <mergeCell ref="E58:F58"/>
    <mergeCell ref="G58:H58"/>
    <mergeCell ref="I58:J58"/>
    <mergeCell ref="K58:L58"/>
    <mergeCell ref="K55:L55"/>
    <mergeCell ref="C56:D56"/>
    <mergeCell ref="E56:F56"/>
    <mergeCell ref="G56:H56"/>
    <mergeCell ref="I56:J56"/>
    <mergeCell ref="K56:L56"/>
    <mergeCell ref="C54:D55"/>
    <mergeCell ref="E54:F55"/>
    <mergeCell ref="G54:L54"/>
    <mergeCell ref="M54:N55"/>
    <mergeCell ref="G55:H55"/>
    <mergeCell ref="C21:C22"/>
    <mergeCell ref="D21:D22"/>
    <mergeCell ref="E21:P21"/>
    <mergeCell ref="C42:J42"/>
    <mergeCell ref="C43:D43"/>
    <mergeCell ref="E43:F43"/>
    <mergeCell ref="G43:H43"/>
    <mergeCell ref="I43:J43"/>
    <mergeCell ref="C44:D44"/>
    <mergeCell ref="E44:F44"/>
    <mergeCell ref="G44:H44"/>
    <mergeCell ref="I44:J44"/>
    <mergeCell ref="C53:N53"/>
    <mergeCell ref="I55:J55"/>
    <mergeCell ref="C3:P4"/>
    <mergeCell ref="D5:P5"/>
    <mergeCell ref="C6:C7"/>
    <mergeCell ref="D6:D7"/>
    <mergeCell ref="E6:O6"/>
    <mergeCell ref="P6:P7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633C2-A869-4091-B878-9558759B0143}">
  <dimension ref="A1:Z1001"/>
  <sheetViews>
    <sheetView showGridLines="0" topLeftCell="H42" zoomScale="50" zoomScaleNormal="50" workbookViewId="0">
      <selection activeCell="R35" sqref="R35"/>
    </sheetView>
  </sheetViews>
  <sheetFormatPr defaultColWidth="14.42578125" defaultRowHeight="15" customHeight="1" x14ac:dyDescent="0.2"/>
  <cols>
    <col min="1" max="2" width="8" customWidth="1"/>
    <col min="3" max="3" width="138.28515625" customWidth="1"/>
    <col min="4" max="16" width="29.7109375" customWidth="1"/>
    <col min="17" max="17" width="8" customWidth="1"/>
    <col min="18" max="18" width="25.85546875" customWidth="1"/>
    <col min="19" max="26" width="8" customWidth="1"/>
  </cols>
  <sheetData>
    <row r="1" spans="1:26" ht="83.25" customHeight="1" x14ac:dyDescent="0.2"/>
    <row r="2" spans="1:26" ht="13.5" customHeight="1" x14ac:dyDescent="0.2"/>
    <row r="3" spans="1:26" ht="37.5" customHeight="1" x14ac:dyDescent="0.2">
      <c r="C3" s="44" t="s">
        <v>0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</row>
    <row r="4" spans="1:26" ht="37.5" customHeight="1" x14ac:dyDescent="0.2"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</row>
    <row r="5" spans="1:26" ht="69.75" customHeight="1" x14ac:dyDescent="0.2">
      <c r="A5" s="1"/>
      <c r="B5" s="1"/>
      <c r="C5" s="26"/>
      <c r="D5" s="86" t="s">
        <v>68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8" customHeight="1" x14ac:dyDescent="0.2">
      <c r="C6" s="53" t="s">
        <v>1</v>
      </c>
      <c r="D6" s="53" t="s">
        <v>2</v>
      </c>
      <c r="E6" s="55" t="s">
        <v>3</v>
      </c>
      <c r="F6" s="51"/>
      <c r="G6" s="51"/>
      <c r="H6" s="51"/>
      <c r="I6" s="51"/>
      <c r="J6" s="51"/>
      <c r="K6" s="51"/>
      <c r="L6" s="51"/>
      <c r="M6" s="51"/>
      <c r="N6" s="51"/>
      <c r="O6" s="52"/>
      <c r="P6" s="53" t="s">
        <v>4</v>
      </c>
    </row>
    <row r="7" spans="1:26" ht="60.75" customHeight="1" x14ac:dyDescent="0.2">
      <c r="A7" s="2"/>
      <c r="B7" s="2"/>
      <c r="C7" s="54"/>
      <c r="D7" s="54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70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4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1.25" customHeight="1" x14ac:dyDescent="0.4">
      <c r="A8" s="4"/>
      <c r="B8" s="4"/>
      <c r="C8" s="28" t="s">
        <v>16</v>
      </c>
      <c r="D8" s="6"/>
      <c r="E8" s="5"/>
      <c r="F8" s="5">
        <v>1690</v>
      </c>
      <c r="G8" s="5">
        <v>1360</v>
      </c>
      <c r="H8" s="5">
        <v>1230</v>
      </c>
      <c r="I8" s="5">
        <v>750</v>
      </c>
      <c r="J8" s="5">
        <v>0</v>
      </c>
      <c r="K8" s="5">
        <v>540</v>
      </c>
      <c r="L8" s="5">
        <v>480</v>
      </c>
      <c r="M8" s="5">
        <v>215</v>
      </c>
      <c r="N8" s="5">
        <v>280</v>
      </c>
      <c r="O8" s="5">
        <v>132</v>
      </c>
      <c r="P8" s="27">
        <f t="shared" ref="P8:P19" si="0">SUM(D8:O8)</f>
        <v>6677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41.25" customHeight="1" x14ac:dyDescent="0.4">
      <c r="A9" s="4"/>
      <c r="B9" s="4"/>
      <c r="C9" s="28" t="s">
        <v>17</v>
      </c>
      <c r="D9" s="6"/>
      <c r="E9" s="5"/>
      <c r="F9" s="5">
        <v>17402.62</v>
      </c>
      <c r="G9" s="5">
        <v>15780.21</v>
      </c>
      <c r="H9" s="5">
        <v>8534.5400000000009</v>
      </c>
      <c r="I9" s="5">
        <v>5828.23</v>
      </c>
      <c r="J9" s="5">
        <v>1141.25</v>
      </c>
      <c r="K9" s="5">
        <v>4529.79</v>
      </c>
      <c r="L9" s="5">
        <v>2624.64</v>
      </c>
      <c r="M9" s="5">
        <v>1809.44</v>
      </c>
      <c r="N9" s="5">
        <v>0</v>
      </c>
      <c r="O9" s="5">
        <v>1300.4000000000001</v>
      </c>
      <c r="P9" s="27">
        <f t="shared" si="0"/>
        <v>58951.12000000001</v>
      </c>
      <c r="Q9" s="4" t="s">
        <v>18</v>
      </c>
      <c r="R9" s="4"/>
      <c r="S9" s="4"/>
      <c r="T9" s="4"/>
      <c r="U9" s="4"/>
      <c r="V9" s="4"/>
      <c r="W9" s="4"/>
      <c r="X9" s="4"/>
      <c r="Y9" s="4"/>
      <c r="Z9" s="4"/>
    </row>
    <row r="10" spans="1:26" ht="41.25" customHeight="1" x14ac:dyDescent="0.4">
      <c r="A10" s="4"/>
      <c r="B10" s="4"/>
      <c r="C10" s="28" t="s">
        <v>19</v>
      </c>
      <c r="D10" s="6"/>
      <c r="E10" s="5"/>
      <c r="F10" s="5">
        <v>-70</v>
      </c>
      <c r="G10" s="5">
        <v>-4714.03</v>
      </c>
      <c r="H10" s="5">
        <v>-135</v>
      </c>
      <c r="I10" s="5">
        <v>-6078.61</v>
      </c>
      <c r="J10" s="5">
        <v>-3.6</v>
      </c>
      <c r="K10" s="5">
        <v>-0.04</v>
      </c>
      <c r="L10" s="5">
        <v>-0.06</v>
      </c>
      <c r="M10" s="5">
        <v>0</v>
      </c>
      <c r="N10" s="5">
        <v>0</v>
      </c>
      <c r="O10" s="5">
        <v>-478.03</v>
      </c>
      <c r="P10" s="27">
        <f t="shared" si="0"/>
        <v>-11479.37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41.25" customHeight="1" x14ac:dyDescent="0.4">
      <c r="A11" s="4"/>
      <c r="B11" s="4"/>
      <c r="C11" s="28" t="s">
        <v>20</v>
      </c>
      <c r="D11" s="6"/>
      <c r="E11" s="6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27">
        <f t="shared" si="0"/>
        <v>0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41.25" customHeight="1" x14ac:dyDescent="0.4">
      <c r="A12" s="4"/>
      <c r="B12" s="4"/>
      <c r="C12" s="39" t="s">
        <v>65</v>
      </c>
      <c r="D12" s="6">
        <f>2.63+2.58</f>
        <v>5.21</v>
      </c>
      <c r="E12" s="6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27">
        <f t="shared" si="0"/>
        <v>5.21</v>
      </c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41.25" customHeight="1" x14ac:dyDescent="0.4">
      <c r="A13" s="4"/>
      <c r="B13" s="4"/>
      <c r="C13" s="39" t="s">
        <v>54</v>
      </c>
      <c r="D13" s="5">
        <f>0.15+5.25+10.32+8.82+14.38+7.3</f>
        <v>46.22</v>
      </c>
      <c r="E13" s="6"/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27">
        <f t="shared" si="0"/>
        <v>46.22</v>
      </c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41.25" customHeight="1" x14ac:dyDescent="0.4">
      <c r="A14" s="4"/>
      <c r="B14" s="4"/>
      <c r="C14" s="28" t="s">
        <v>21</v>
      </c>
      <c r="D14" s="6"/>
      <c r="E14" s="5"/>
      <c r="F14" s="7">
        <v>0</v>
      </c>
      <c r="G14" s="6">
        <v>0</v>
      </c>
      <c r="H14" s="6">
        <v>0</v>
      </c>
      <c r="I14" s="6">
        <v>0</v>
      </c>
      <c r="J14" s="7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27">
        <f t="shared" si="0"/>
        <v>0</v>
      </c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41.25" customHeight="1" x14ac:dyDescent="0.4">
      <c r="A15" s="4"/>
      <c r="B15" s="4"/>
      <c r="C15" s="39" t="s">
        <v>22</v>
      </c>
      <c r="D15" s="6"/>
      <c r="E15" s="5"/>
      <c r="F15" s="7">
        <v>0</v>
      </c>
      <c r="G15" s="6">
        <v>0</v>
      </c>
      <c r="H15" s="6">
        <v>0</v>
      </c>
      <c r="I15" s="6">
        <v>0</v>
      </c>
      <c r="J15" s="7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27">
        <f t="shared" si="0"/>
        <v>0</v>
      </c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41.25" customHeight="1" x14ac:dyDescent="0.4">
      <c r="A16" s="4"/>
      <c r="B16" s="4"/>
      <c r="C16" s="39" t="s">
        <v>66</v>
      </c>
      <c r="D16" s="5">
        <v>0</v>
      </c>
      <c r="E16" s="5"/>
      <c r="F16" s="5">
        <v>840</v>
      </c>
      <c r="G16" s="5">
        <v>1370</v>
      </c>
      <c r="H16" s="5">
        <v>610</v>
      </c>
      <c r="I16" s="7">
        <v>710</v>
      </c>
      <c r="J16" s="7">
        <v>280</v>
      </c>
      <c r="K16" s="5">
        <v>1350</v>
      </c>
      <c r="L16" s="5">
        <v>160</v>
      </c>
      <c r="M16" s="5">
        <v>30</v>
      </c>
      <c r="N16" s="5">
        <v>340</v>
      </c>
      <c r="O16" s="7">
        <v>170</v>
      </c>
      <c r="P16" s="27">
        <f t="shared" si="0"/>
        <v>5860</v>
      </c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41.25" customHeight="1" x14ac:dyDescent="0.4">
      <c r="A17" s="4"/>
      <c r="B17" s="4"/>
      <c r="C17" s="28" t="s">
        <v>23</v>
      </c>
      <c r="D17" s="5"/>
      <c r="E17" s="5"/>
      <c r="F17" s="5">
        <v>-2544.4699999999998</v>
      </c>
      <c r="G17" s="5">
        <f>2535.58-580.87</f>
        <v>1954.71</v>
      </c>
      <c r="H17" s="5">
        <v>964.48</v>
      </c>
      <c r="I17" s="7">
        <f>-2999.68+33.08+5999.36</f>
        <v>3032.7599999999998</v>
      </c>
      <c r="J17" s="7">
        <f>6.04+374.12</f>
        <v>380.16</v>
      </c>
      <c r="K17" s="5">
        <v>0</v>
      </c>
      <c r="L17" s="5">
        <v>1.1000000000000001</v>
      </c>
      <c r="M17" s="5">
        <v>0</v>
      </c>
      <c r="N17" s="5">
        <v>0</v>
      </c>
      <c r="O17" s="7">
        <f>428.03+100</f>
        <v>528.03</v>
      </c>
      <c r="P17" s="27">
        <f t="shared" si="0"/>
        <v>4316.7699999999995</v>
      </c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41.25" customHeight="1" x14ac:dyDescent="0.4">
      <c r="A18" s="4"/>
      <c r="B18" s="4"/>
      <c r="C18" s="29" t="s">
        <v>50</v>
      </c>
      <c r="D18" s="6"/>
      <c r="E18" s="5"/>
      <c r="F18" s="5">
        <f>-1235.12-1007</f>
        <v>-2242.12</v>
      </c>
      <c r="G18" s="5">
        <v>0</v>
      </c>
      <c r="H18" s="6">
        <v>0</v>
      </c>
      <c r="I18" s="7">
        <v>0</v>
      </c>
      <c r="J18" s="7">
        <v>0</v>
      </c>
      <c r="K18" s="6">
        <v>0</v>
      </c>
      <c r="L18" s="6">
        <v>0</v>
      </c>
      <c r="M18" s="6">
        <v>0</v>
      </c>
      <c r="N18" s="6">
        <v>-620</v>
      </c>
      <c r="O18" s="6">
        <v>0</v>
      </c>
      <c r="P18" s="27">
        <f t="shared" si="0"/>
        <v>-2862.12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41.25" customHeight="1" x14ac:dyDescent="0.4">
      <c r="A19" s="4"/>
      <c r="B19" s="4"/>
      <c r="C19" s="30" t="s">
        <v>24</v>
      </c>
      <c r="D19" s="7"/>
      <c r="E19" s="5"/>
      <c r="F19" s="5">
        <v>3220.03</v>
      </c>
      <c r="G19" s="5">
        <v>860.87</v>
      </c>
      <c r="H19" s="5">
        <v>0</v>
      </c>
      <c r="I19" s="5">
        <v>99.2</v>
      </c>
      <c r="J19" s="6">
        <v>-121.67</v>
      </c>
      <c r="K19" s="6">
        <v>0</v>
      </c>
      <c r="L19" s="5">
        <v>0.06</v>
      </c>
      <c r="M19" s="7">
        <v>0</v>
      </c>
      <c r="N19" s="6">
        <v>0</v>
      </c>
      <c r="O19" s="7">
        <v>0.05</v>
      </c>
      <c r="P19" s="27">
        <f t="shared" si="0"/>
        <v>4058.5400000000004</v>
      </c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59.25" customHeight="1" x14ac:dyDescent="0.2">
      <c r="A20" s="1"/>
      <c r="B20" s="1"/>
      <c r="C20" s="31" t="s">
        <v>25</v>
      </c>
      <c r="D20" s="8">
        <f t="shared" ref="D20:P20" si="1">SUM(D8:D19)</f>
        <v>51.43</v>
      </c>
      <c r="E20" s="8">
        <f t="shared" si="1"/>
        <v>0</v>
      </c>
      <c r="F20" s="8">
        <f t="shared" si="1"/>
        <v>18296.059999999998</v>
      </c>
      <c r="G20" s="8">
        <f t="shared" si="1"/>
        <v>16611.759999999998</v>
      </c>
      <c r="H20" s="8">
        <f t="shared" si="1"/>
        <v>11204.02</v>
      </c>
      <c r="I20" s="8">
        <f t="shared" si="1"/>
        <v>4341.579999999999</v>
      </c>
      <c r="J20" s="8">
        <f t="shared" si="1"/>
        <v>1676.14</v>
      </c>
      <c r="K20" s="8">
        <f t="shared" si="1"/>
        <v>6419.75</v>
      </c>
      <c r="L20" s="8">
        <f t="shared" si="1"/>
        <v>3265.74</v>
      </c>
      <c r="M20" s="8">
        <f t="shared" si="1"/>
        <v>2054.44</v>
      </c>
      <c r="N20" s="8">
        <f t="shared" si="1"/>
        <v>0</v>
      </c>
      <c r="O20" s="8">
        <f t="shared" si="1"/>
        <v>1652.45</v>
      </c>
      <c r="P20" s="8">
        <f t="shared" si="1"/>
        <v>65573.37</v>
      </c>
      <c r="Q20" s="1"/>
      <c r="R20" s="32"/>
      <c r="S20" s="1"/>
      <c r="T20" s="1"/>
      <c r="U20" s="1"/>
      <c r="V20" s="1"/>
      <c r="W20" s="1"/>
      <c r="X20" s="1"/>
      <c r="Y20" s="1"/>
      <c r="Z20" s="1"/>
    </row>
    <row r="21" spans="1:26" ht="30" customHeight="1" x14ac:dyDescent="0.2">
      <c r="C21" s="53" t="s">
        <v>26</v>
      </c>
      <c r="D21" s="60" t="s">
        <v>2</v>
      </c>
      <c r="E21" s="6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</row>
    <row r="22" spans="1:26" ht="75.75" customHeight="1" x14ac:dyDescent="0.2">
      <c r="C22" s="54"/>
      <c r="D22" s="54"/>
      <c r="E22" s="21" t="s">
        <v>5</v>
      </c>
      <c r="F22" s="3" t="s">
        <v>6</v>
      </c>
      <c r="G22" s="3" t="s">
        <v>7</v>
      </c>
      <c r="H22" s="3" t="s">
        <v>8</v>
      </c>
      <c r="I22" s="3" t="s">
        <v>9</v>
      </c>
      <c r="J22" s="21" t="s">
        <v>70</v>
      </c>
      <c r="K22" s="3" t="s">
        <v>11</v>
      </c>
      <c r="L22" s="3" t="s">
        <v>12</v>
      </c>
      <c r="M22" s="3" t="s">
        <v>13</v>
      </c>
      <c r="N22" s="3" t="s">
        <v>14</v>
      </c>
      <c r="O22" s="3" t="s">
        <v>15</v>
      </c>
      <c r="P22" s="16" t="s">
        <v>4</v>
      </c>
    </row>
    <row r="23" spans="1:26" ht="41.25" customHeight="1" x14ac:dyDescent="0.2">
      <c r="A23" s="9"/>
      <c r="B23" s="9"/>
      <c r="C23" s="33" t="s">
        <v>27</v>
      </c>
      <c r="D23" s="22">
        <f>(1800+2344+1040+634+182.5+1127.5+672+528+377.35+2538.04+244.67+313.8+1490)+(804.75+1451+640+72+566.5+647.4+1160+283+302.68+518.5+354.75+706.7+496.5+767+1442.7)</f>
        <v>23505.339999999997</v>
      </c>
      <c r="E23" s="5"/>
      <c r="F23" s="7">
        <f>5312.95+5468.43-740</f>
        <v>10041.380000000001</v>
      </c>
      <c r="G23" s="5">
        <v>0</v>
      </c>
      <c r="H23" s="6">
        <v>4536.3500000000004</v>
      </c>
      <c r="I23" s="7">
        <v>3556.58</v>
      </c>
      <c r="J23" s="5">
        <v>0</v>
      </c>
      <c r="K23" s="6">
        <f>1872.4+2638</f>
        <v>4510.3999999999996</v>
      </c>
      <c r="L23" s="5">
        <v>2968.6</v>
      </c>
      <c r="M23" s="6">
        <v>0</v>
      </c>
      <c r="N23" s="5">
        <v>0</v>
      </c>
      <c r="O23" s="6">
        <v>0</v>
      </c>
      <c r="P23" s="34">
        <f t="shared" ref="P23:P34" si="2">SUM(D23:O23)</f>
        <v>49118.65</v>
      </c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41.25" customHeight="1" x14ac:dyDescent="0.2">
      <c r="A24" s="9"/>
      <c r="B24" s="9"/>
      <c r="C24" s="28" t="s">
        <v>28</v>
      </c>
      <c r="D24" s="36">
        <v>0</v>
      </c>
      <c r="E24" s="5"/>
      <c r="F24" s="5">
        <v>1510</v>
      </c>
      <c r="G24" s="5">
        <v>1470</v>
      </c>
      <c r="H24" s="5">
        <v>460</v>
      </c>
      <c r="I24" s="5">
        <v>785</v>
      </c>
      <c r="J24" s="5">
        <v>200</v>
      </c>
      <c r="K24" s="5">
        <v>280</v>
      </c>
      <c r="L24" s="5">
        <v>280</v>
      </c>
      <c r="M24" s="5">
        <v>150</v>
      </c>
      <c r="N24" s="5">
        <v>0</v>
      </c>
      <c r="O24" s="5">
        <v>50</v>
      </c>
      <c r="P24" s="34">
        <f t="shared" si="2"/>
        <v>5185</v>
      </c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40.5" customHeight="1" x14ac:dyDescent="0.2">
      <c r="A25" s="9"/>
      <c r="B25" s="9"/>
      <c r="C25" s="28" t="s">
        <v>29</v>
      </c>
      <c r="D25" s="36">
        <f>300+300+240+200+840</f>
        <v>1880</v>
      </c>
      <c r="E25" s="5"/>
      <c r="F25" s="5">
        <v>740</v>
      </c>
      <c r="G25" s="5">
        <v>250</v>
      </c>
      <c r="H25" s="6">
        <v>0</v>
      </c>
      <c r="I25" s="6">
        <v>0</v>
      </c>
      <c r="J25" s="5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34">
        <f t="shared" si="2"/>
        <v>2870</v>
      </c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41.25" customHeight="1" x14ac:dyDescent="0.2">
      <c r="A26" s="9"/>
      <c r="B26" s="9"/>
      <c r="C26" s="28" t="s">
        <v>30</v>
      </c>
      <c r="D26" s="23">
        <v>140</v>
      </c>
      <c r="E26" s="5"/>
      <c r="F26" s="6">
        <v>0</v>
      </c>
      <c r="G26" s="5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4">
        <f t="shared" si="2"/>
        <v>140</v>
      </c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41.25" customHeight="1" x14ac:dyDescent="0.2">
      <c r="A27" s="9"/>
      <c r="B27" s="9"/>
      <c r="C27" s="30" t="s">
        <v>51</v>
      </c>
      <c r="D27" s="22">
        <v>900</v>
      </c>
      <c r="E27" s="6"/>
      <c r="F27" s="7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4">
        <f t="shared" si="2"/>
        <v>900</v>
      </c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41.25" customHeight="1" x14ac:dyDescent="0.2">
      <c r="A28" s="9"/>
      <c r="B28" s="9"/>
      <c r="C28" s="29" t="s">
        <v>48</v>
      </c>
      <c r="D28" s="23">
        <v>0</v>
      </c>
      <c r="E28" s="6"/>
      <c r="F28" s="5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4">
        <f t="shared" si="2"/>
        <v>0</v>
      </c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41.25" customHeight="1" x14ac:dyDescent="0.2">
      <c r="A29" s="9"/>
      <c r="B29" s="9"/>
      <c r="C29" s="28" t="s">
        <v>31</v>
      </c>
      <c r="D29" s="22">
        <f>3400+3000+4000+4000+4000</f>
        <v>18400</v>
      </c>
      <c r="E29" s="6"/>
      <c r="F29" s="6">
        <v>0</v>
      </c>
      <c r="G29" s="5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4">
        <f t="shared" si="2"/>
        <v>18400</v>
      </c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41.25" customHeight="1" x14ac:dyDescent="0.2">
      <c r="A30" s="9"/>
      <c r="B30" s="9"/>
      <c r="C30" s="39" t="s">
        <v>32</v>
      </c>
      <c r="D30" s="22">
        <v>41.9</v>
      </c>
      <c r="E30" s="6"/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4">
        <f t="shared" si="2"/>
        <v>41.9</v>
      </c>
      <c r="Q30" s="9"/>
      <c r="R30" s="10"/>
      <c r="S30" s="9"/>
      <c r="T30" s="9"/>
      <c r="U30" s="9"/>
      <c r="V30" s="9"/>
      <c r="W30" s="9"/>
      <c r="X30" s="9"/>
      <c r="Y30" s="9"/>
      <c r="Z30" s="9"/>
    </row>
    <row r="31" spans="1:26" ht="41.25" customHeight="1" x14ac:dyDescent="0.2">
      <c r="A31" s="9"/>
      <c r="B31" s="9"/>
      <c r="C31" s="39" t="s">
        <v>55</v>
      </c>
      <c r="D31" s="22">
        <v>0</v>
      </c>
      <c r="E31" s="6"/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4">
        <f t="shared" si="2"/>
        <v>0</v>
      </c>
      <c r="Q31" s="9"/>
      <c r="R31" s="10"/>
      <c r="S31" s="9"/>
      <c r="T31" s="9"/>
      <c r="U31" s="9"/>
      <c r="V31" s="9"/>
      <c r="W31" s="9"/>
      <c r="X31" s="9"/>
      <c r="Y31" s="9"/>
      <c r="Z31" s="9"/>
    </row>
    <row r="32" spans="1:26" ht="41.25" customHeight="1" x14ac:dyDescent="0.2">
      <c r="A32" s="9"/>
      <c r="B32" s="9"/>
      <c r="C32" s="39" t="s">
        <v>33</v>
      </c>
      <c r="D32" s="22">
        <v>2.86</v>
      </c>
      <c r="E32" s="6"/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4">
        <f t="shared" si="2"/>
        <v>2.86</v>
      </c>
      <c r="Q32" s="9"/>
      <c r="R32" s="10"/>
      <c r="S32" s="9"/>
      <c r="T32" s="9"/>
      <c r="U32" s="9"/>
      <c r="V32" s="9"/>
      <c r="W32" s="9"/>
      <c r="X32" s="9"/>
      <c r="Y32" s="9"/>
      <c r="Z32" s="9"/>
    </row>
    <row r="33" spans="1:26" ht="41.25" customHeight="1" x14ac:dyDescent="0.2">
      <c r="A33" s="9"/>
      <c r="B33" s="9"/>
      <c r="C33" s="30" t="s">
        <v>49</v>
      </c>
      <c r="D33" s="22">
        <v>0</v>
      </c>
      <c r="E33" s="6"/>
      <c r="F33" s="6">
        <v>0</v>
      </c>
      <c r="G33" s="5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4">
        <f t="shared" si="2"/>
        <v>0</v>
      </c>
      <c r="Q33" s="9"/>
      <c r="R33" s="10"/>
      <c r="S33" s="9"/>
      <c r="T33" s="9"/>
      <c r="U33" s="9"/>
      <c r="V33" s="9"/>
      <c r="W33" s="9"/>
      <c r="X33" s="9"/>
      <c r="Y33" s="9"/>
      <c r="Z33" s="9"/>
    </row>
    <row r="34" spans="1:26" ht="41.25" customHeight="1" x14ac:dyDescent="0.2">
      <c r="A34" s="9"/>
      <c r="B34" s="9"/>
      <c r="C34" s="11" t="s">
        <v>34</v>
      </c>
      <c r="D34" s="23">
        <v>0</v>
      </c>
      <c r="E34" s="5"/>
      <c r="F34" s="7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4">
        <f t="shared" si="2"/>
        <v>0</v>
      </c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60.75" customHeight="1" x14ac:dyDescent="0.2">
      <c r="A35" s="12"/>
      <c r="B35" s="12"/>
      <c r="C35" s="31" t="s">
        <v>35</v>
      </c>
      <c r="D35" s="13">
        <f t="shared" ref="D35:P35" si="3">SUM(D23:D34)</f>
        <v>44870.1</v>
      </c>
      <c r="E35" s="13">
        <f t="shared" si="3"/>
        <v>0</v>
      </c>
      <c r="F35" s="13">
        <f t="shared" si="3"/>
        <v>12291.380000000001</v>
      </c>
      <c r="G35" s="13">
        <f t="shared" si="3"/>
        <v>1720</v>
      </c>
      <c r="H35" s="13">
        <f t="shared" si="3"/>
        <v>4996.3500000000004</v>
      </c>
      <c r="I35" s="13">
        <f t="shared" si="3"/>
        <v>4341.58</v>
      </c>
      <c r="J35" s="13">
        <f t="shared" si="3"/>
        <v>200</v>
      </c>
      <c r="K35" s="13">
        <f t="shared" si="3"/>
        <v>4790.3999999999996</v>
      </c>
      <c r="L35" s="13">
        <f t="shared" si="3"/>
        <v>3248.6</v>
      </c>
      <c r="M35" s="13">
        <f t="shared" si="3"/>
        <v>150</v>
      </c>
      <c r="N35" s="13">
        <f t="shared" si="3"/>
        <v>0</v>
      </c>
      <c r="O35" s="13">
        <f t="shared" si="3"/>
        <v>50</v>
      </c>
      <c r="P35" s="13">
        <f t="shared" si="3"/>
        <v>76658.409999999989</v>
      </c>
      <c r="Q35" s="12"/>
      <c r="R35" s="14"/>
      <c r="S35" s="12"/>
      <c r="T35" s="12"/>
      <c r="U35" s="12"/>
      <c r="V35" s="12"/>
      <c r="W35" s="12"/>
      <c r="X35" s="12"/>
      <c r="Y35" s="12"/>
      <c r="Z35" s="12"/>
    </row>
    <row r="36" spans="1:26" ht="59.25" customHeight="1" x14ac:dyDescent="0.2">
      <c r="A36" s="1"/>
      <c r="B36" s="1"/>
      <c r="C36" s="38" t="s">
        <v>36</v>
      </c>
      <c r="D36" s="15"/>
      <c r="E36" s="15">
        <f t="shared" ref="E36:P36" si="4">E20-E35</f>
        <v>0</v>
      </c>
      <c r="F36" s="15">
        <f t="shared" si="4"/>
        <v>6004.6799999999967</v>
      </c>
      <c r="G36" s="15">
        <f t="shared" si="4"/>
        <v>14891.759999999998</v>
      </c>
      <c r="H36" s="15">
        <f t="shared" si="4"/>
        <v>6207.67</v>
      </c>
      <c r="I36" s="15">
        <f t="shared" si="4"/>
        <v>0</v>
      </c>
      <c r="J36" s="15">
        <f t="shared" si="4"/>
        <v>1476.14</v>
      </c>
      <c r="K36" s="15">
        <f t="shared" si="4"/>
        <v>1629.3500000000004</v>
      </c>
      <c r="L36" s="15">
        <f t="shared" si="4"/>
        <v>17.139999999999873</v>
      </c>
      <c r="M36" s="15">
        <f t="shared" si="4"/>
        <v>1904.44</v>
      </c>
      <c r="N36" s="15">
        <f t="shared" si="4"/>
        <v>0</v>
      </c>
      <c r="O36" s="15">
        <f t="shared" si="4"/>
        <v>1602.45</v>
      </c>
      <c r="P36" s="15">
        <f t="shared" si="4"/>
        <v>-11085.039999999994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4.25" customHeight="1" x14ac:dyDescent="0.2">
      <c r="A37" s="1"/>
      <c r="B37" s="1"/>
      <c r="C37" s="35" t="s">
        <v>52</v>
      </c>
      <c r="D37" s="17"/>
      <c r="E37" s="17">
        <v>4929.03</v>
      </c>
      <c r="F37" s="17">
        <f>1500.62+285.32+249.22+1828.47+320+933.58+387.7+206.12+293.65</f>
        <v>6004.6799999999994</v>
      </c>
      <c r="G37" s="25">
        <f>5000+9000+746.12+145.64</f>
        <v>14891.76</v>
      </c>
      <c r="H37" s="24">
        <f>1632.19+829.48+2994.42+751.58</f>
        <v>6207.67</v>
      </c>
      <c r="I37" s="24">
        <v>0</v>
      </c>
      <c r="J37" s="25">
        <f>374.12+207.72+244.49+193.89+455.92</f>
        <v>1476.14</v>
      </c>
      <c r="K37" s="25">
        <f>1629.35</f>
        <v>1629.35</v>
      </c>
      <c r="L37" s="25">
        <v>17.14</v>
      </c>
      <c r="M37" s="24">
        <v>1904.44</v>
      </c>
      <c r="N37" s="24">
        <v>0</v>
      </c>
      <c r="O37" s="25">
        <v>1602.45</v>
      </c>
      <c r="P37" s="17">
        <f>SUM(E37:O37)</f>
        <v>38662.659999999996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0.5" customHeight="1" x14ac:dyDescent="0.45"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26" ht="12.75" customHeight="1" x14ac:dyDescent="0.2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26" ht="12.75" customHeight="1" x14ac:dyDescent="0.2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26" ht="13.5" customHeight="1" thickBot="1" x14ac:dyDescent="0.25"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26" ht="45" customHeight="1" x14ac:dyDescent="0.2">
      <c r="C42" s="62" t="s">
        <v>37</v>
      </c>
      <c r="D42" s="63"/>
      <c r="E42" s="63"/>
      <c r="F42" s="63"/>
      <c r="G42" s="63"/>
      <c r="H42" s="63"/>
      <c r="I42" s="63"/>
      <c r="J42" s="64"/>
      <c r="K42" s="19"/>
      <c r="L42" s="19"/>
      <c r="M42" s="19"/>
    </row>
    <row r="43" spans="1:26" ht="34.5" customHeight="1" x14ac:dyDescent="0.2">
      <c r="C43" s="65" t="s">
        <v>38</v>
      </c>
      <c r="D43" s="52"/>
      <c r="E43" s="66">
        <v>0.03</v>
      </c>
      <c r="F43" s="52"/>
      <c r="G43" s="66">
        <v>0.02</v>
      </c>
      <c r="H43" s="52"/>
      <c r="I43" s="59" t="s">
        <v>4</v>
      </c>
      <c r="J43" s="67"/>
      <c r="K43" s="19"/>
      <c r="L43" s="19"/>
      <c r="M43" s="19"/>
    </row>
    <row r="44" spans="1:26" ht="36" customHeight="1" thickBot="1" x14ac:dyDescent="0.25">
      <c r="C44" s="68" t="s">
        <v>39</v>
      </c>
      <c r="D44" s="69"/>
      <c r="E44" s="70">
        <f>P9*0.03</f>
        <v>1768.5336000000002</v>
      </c>
      <c r="F44" s="69"/>
      <c r="G44" s="70">
        <f>P9*0.02</f>
        <v>1179.0224000000003</v>
      </c>
      <c r="H44" s="69"/>
      <c r="I44" s="71">
        <f>SUM(E44:H44)</f>
        <v>2947.5560000000005</v>
      </c>
      <c r="J44" s="72"/>
      <c r="K44" s="19"/>
      <c r="L44" s="19"/>
      <c r="M44" s="19"/>
    </row>
    <row r="45" spans="1:26" ht="12.75" customHeight="1" x14ac:dyDescent="0.2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26" ht="12.75" customHeight="1" x14ac:dyDescent="0.2"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26" ht="12.75" customHeight="1" x14ac:dyDescent="0.2"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26" ht="12.75" customHeight="1" x14ac:dyDescent="0.2"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3:17" ht="12.75" customHeight="1" x14ac:dyDescent="0.2"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3:17" ht="12.75" customHeight="1" x14ac:dyDescent="0.2"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3:17" ht="12.75" customHeight="1" x14ac:dyDescent="0.2"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3:17" ht="13.5" customHeight="1" thickBot="1" x14ac:dyDescent="0.25"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3:17" ht="59.25" customHeight="1" x14ac:dyDescent="0.2">
      <c r="C53" s="62" t="s">
        <v>40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4"/>
      <c r="O53" s="19"/>
    </row>
    <row r="54" spans="3:17" ht="59.25" customHeight="1" x14ac:dyDescent="0.2">
      <c r="C54" s="79" t="s">
        <v>41</v>
      </c>
      <c r="D54" s="46"/>
      <c r="E54" s="56" t="s">
        <v>42</v>
      </c>
      <c r="F54" s="46"/>
      <c r="G54" s="81" t="s">
        <v>43</v>
      </c>
      <c r="H54" s="51"/>
      <c r="I54" s="51"/>
      <c r="J54" s="51"/>
      <c r="K54" s="51"/>
      <c r="L54" s="52"/>
      <c r="M54" s="56" t="s">
        <v>44</v>
      </c>
      <c r="N54" s="57"/>
      <c r="O54" s="19"/>
    </row>
    <row r="55" spans="3:17" ht="41.25" customHeight="1" x14ac:dyDescent="0.2">
      <c r="C55" s="80"/>
      <c r="D55" s="49"/>
      <c r="E55" s="47"/>
      <c r="F55" s="49"/>
      <c r="G55" s="59" t="s">
        <v>45</v>
      </c>
      <c r="H55" s="52"/>
      <c r="I55" s="59" t="s">
        <v>46</v>
      </c>
      <c r="J55" s="52"/>
      <c r="K55" s="59" t="s">
        <v>36</v>
      </c>
      <c r="L55" s="52"/>
      <c r="M55" s="47"/>
      <c r="N55" s="58"/>
      <c r="O55" s="19"/>
      <c r="P55" s="19"/>
      <c r="Q55" s="19"/>
    </row>
    <row r="56" spans="3:17" ht="41.25" customHeight="1" x14ac:dyDescent="0.2">
      <c r="C56" s="73" t="s">
        <v>47</v>
      </c>
      <c r="D56" s="52"/>
      <c r="E56" s="74">
        <v>3276.7</v>
      </c>
      <c r="F56" s="52"/>
      <c r="G56" s="75">
        <v>16787.64</v>
      </c>
      <c r="H56" s="52"/>
      <c r="I56" s="76">
        <v>-16459.47</v>
      </c>
      <c r="J56" s="52"/>
      <c r="K56" s="89">
        <f t="shared" ref="K56:K57" si="5">G56+I56</f>
        <v>328.16999999999825</v>
      </c>
      <c r="L56" s="52"/>
      <c r="M56" s="82">
        <f t="shared" ref="M56:M58" si="6">E56+K56</f>
        <v>3604.8699999999981</v>
      </c>
      <c r="N56" s="67"/>
      <c r="O56" s="19"/>
      <c r="P56" s="19"/>
      <c r="Q56" s="19"/>
    </row>
    <row r="57" spans="3:17" ht="41.25" customHeight="1" x14ac:dyDescent="0.2">
      <c r="C57" s="73" t="s">
        <v>53</v>
      </c>
      <c r="D57" s="52"/>
      <c r="E57" s="74">
        <v>32561.29</v>
      </c>
      <c r="F57" s="52"/>
      <c r="G57" s="75">
        <v>23391.08</v>
      </c>
      <c r="H57" s="52"/>
      <c r="I57" s="76">
        <v>-31955.86</v>
      </c>
      <c r="J57" s="52"/>
      <c r="K57" s="83">
        <f t="shared" si="5"/>
        <v>-8564.7799999999988</v>
      </c>
      <c r="L57" s="52"/>
      <c r="M57" s="82">
        <f t="shared" si="6"/>
        <v>23996.510000000002</v>
      </c>
      <c r="N57" s="67"/>
      <c r="O57" s="19"/>
      <c r="P57" s="20"/>
      <c r="Q57" s="19"/>
    </row>
    <row r="58" spans="3:17" ht="60.75" customHeight="1" thickBot="1" x14ac:dyDescent="0.25">
      <c r="C58" s="68" t="s">
        <v>4</v>
      </c>
      <c r="D58" s="69"/>
      <c r="E58" s="70">
        <f>SUM(E56:F57)</f>
        <v>35837.99</v>
      </c>
      <c r="F58" s="69"/>
      <c r="G58" s="70">
        <f>SUM(G56:H57)</f>
        <v>40178.720000000001</v>
      </c>
      <c r="H58" s="69"/>
      <c r="I58" s="84">
        <f>SUM(I56:J57)</f>
        <v>-48415.33</v>
      </c>
      <c r="J58" s="69"/>
      <c r="K58" s="71">
        <f>SUM(K56:L57)</f>
        <v>-8236.61</v>
      </c>
      <c r="L58" s="69"/>
      <c r="M58" s="70">
        <f t="shared" si="6"/>
        <v>27601.379999999997</v>
      </c>
      <c r="N58" s="72"/>
      <c r="O58" s="19"/>
      <c r="P58" s="19"/>
      <c r="Q58" s="19"/>
    </row>
    <row r="59" spans="3:17" ht="12.75" customHeight="1" x14ac:dyDescent="0.2"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3:17" ht="12.75" customHeight="1" x14ac:dyDescent="0.2"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3:17" ht="12.75" customHeight="1" x14ac:dyDescent="0.2"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3:17" ht="12.75" customHeight="1" x14ac:dyDescent="0.2"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3:17" ht="12.75" customHeight="1" x14ac:dyDescent="0.2"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3:17" ht="12.75" customHeight="1" x14ac:dyDescent="0.2"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4:15" ht="12.75" customHeight="1" x14ac:dyDescent="0.2"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4:15" ht="12.75" customHeight="1" x14ac:dyDescent="0.2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4:15" ht="12.75" customHeight="1" x14ac:dyDescent="0.2"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4:15" ht="12.75" customHeight="1" x14ac:dyDescent="0.2"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4:15" ht="12.75" customHeight="1" x14ac:dyDescent="0.2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4:15" ht="12.75" customHeight="1" x14ac:dyDescent="0.2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4:15" ht="12.75" customHeight="1" x14ac:dyDescent="0.2"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4:15" ht="12.75" customHeight="1" x14ac:dyDescent="0.2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4:15" ht="12.75" customHeight="1" x14ac:dyDescent="0.2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4:15" ht="12.75" customHeight="1" x14ac:dyDescent="0.2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4:15" ht="12.75" customHeight="1" x14ac:dyDescent="0.2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4:15" ht="12.75" customHeight="1" x14ac:dyDescent="0.2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4:15" ht="12.75" customHeight="1" x14ac:dyDescent="0.2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4:15" ht="12.75" customHeight="1" x14ac:dyDescent="0.2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4:15" ht="12.75" customHeight="1" x14ac:dyDescent="0.2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4:15" ht="12.75" customHeight="1" x14ac:dyDescent="0.2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4:15" ht="12.75" customHeight="1" x14ac:dyDescent="0.2"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4:15" ht="12.75" customHeight="1" x14ac:dyDescent="0.2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4:15" ht="12.75" customHeight="1" x14ac:dyDescent="0.2"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4:15" ht="12.75" customHeight="1" x14ac:dyDescent="0.2"/>
    <row r="85" spans="4:15" ht="12.75" customHeight="1" x14ac:dyDescent="0.2"/>
    <row r="86" spans="4:15" ht="12.75" customHeight="1" x14ac:dyDescent="0.2"/>
    <row r="87" spans="4:15" ht="12.75" customHeight="1" x14ac:dyDescent="0.2"/>
    <row r="88" spans="4:15" ht="12.75" customHeight="1" x14ac:dyDescent="0.2"/>
    <row r="89" spans="4:15" ht="12.75" customHeight="1" x14ac:dyDescent="0.2"/>
    <row r="90" spans="4:15" ht="12.75" customHeight="1" x14ac:dyDescent="0.2"/>
    <row r="91" spans="4:15" ht="12.75" customHeight="1" x14ac:dyDescent="0.2"/>
    <row r="92" spans="4:15" ht="12.75" customHeight="1" x14ac:dyDescent="0.2"/>
    <row r="93" spans="4:15" ht="12.75" customHeight="1" x14ac:dyDescent="0.2"/>
    <row r="94" spans="4:15" ht="12.75" customHeight="1" x14ac:dyDescent="0.2"/>
    <row r="95" spans="4:15" ht="12.75" customHeight="1" x14ac:dyDescent="0.2"/>
    <row r="96" spans="4:15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44">
    <mergeCell ref="M58:N58"/>
    <mergeCell ref="M56:N56"/>
    <mergeCell ref="C57:D57"/>
    <mergeCell ref="E57:F57"/>
    <mergeCell ref="G57:H57"/>
    <mergeCell ref="I57:J57"/>
    <mergeCell ref="K57:L57"/>
    <mergeCell ref="M57:N57"/>
    <mergeCell ref="C58:D58"/>
    <mergeCell ref="E58:F58"/>
    <mergeCell ref="G58:H58"/>
    <mergeCell ref="I58:J58"/>
    <mergeCell ref="K58:L58"/>
    <mergeCell ref="K55:L55"/>
    <mergeCell ref="C56:D56"/>
    <mergeCell ref="E56:F56"/>
    <mergeCell ref="G56:H56"/>
    <mergeCell ref="I56:J56"/>
    <mergeCell ref="K56:L56"/>
    <mergeCell ref="C54:D55"/>
    <mergeCell ref="E54:F55"/>
    <mergeCell ref="G54:L54"/>
    <mergeCell ref="M54:N55"/>
    <mergeCell ref="G55:H55"/>
    <mergeCell ref="C21:C22"/>
    <mergeCell ref="D21:D22"/>
    <mergeCell ref="E21:P21"/>
    <mergeCell ref="C42:J42"/>
    <mergeCell ref="C43:D43"/>
    <mergeCell ref="E43:F43"/>
    <mergeCell ref="G43:H43"/>
    <mergeCell ref="I43:J43"/>
    <mergeCell ref="C44:D44"/>
    <mergeCell ref="E44:F44"/>
    <mergeCell ref="G44:H44"/>
    <mergeCell ref="I44:J44"/>
    <mergeCell ref="C53:N53"/>
    <mergeCell ref="I55:J55"/>
    <mergeCell ref="C3:P4"/>
    <mergeCell ref="D5:P5"/>
    <mergeCell ref="C6:C7"/>
    <mergeCell ref="D6:D7"/>
    <mergeCell ref="E6:O6"/>
    <mergeCell ref="P6:P7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681EA-4B24-4704-BF18-82AC46E98FA3}">
  <dimension ref="A1:Z1001"/>
  <sheetViews>
    <sheetView showGridLines="0" topLeftCell="H46" zoomScale="50" zoomScaleNormal="50" workbookViewId="0">
      <selection activeCell="R20" sqref="R20"/>
    </sheetView>
  </sheetViews>
  <sheetFormatPr defaultColWidth="14.42578125" defaultRowHeight="15" customHeight="1" x14ac:dyDescent="0.2"/>
  <cols>
    <col min="1" max="2" width="8" customWidth="1"/>
    <col min="3" max="3" width="138.28515625" customWidth="1"/>
    <col min="4" max="16" width="29.7109375" customWidth="1"/>
    <col min="17" max="17" width="8" customWidth="1"/>
    <col min="18" max="18" width="25.85546875" customWidth="1"/>
    <col min="19" max="26" width="8" customWidth="1"/>
  </cols>
  <sheetData>
    <row r="1" spans="1:26" ht="83.25" customHeight="1" x14ac:dyDescent="0.2"/>
    <row r="2" spans="1:26" ht="13.5" customHeight="1" x14ac:dyDescent="0.2"/>
    <row r="3" spans="1:26" ht="37.5" customHeight="1" x14ac:dyDescent="0.2">
      <c r="C3" s="44" t="s">
        <v>0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</row>
    <row r="4" spans="1:26" ht="37.5" customHeight="1" x14ac:dyDescent="0.2"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</row>
    <row r="5" spans="1:26" ht="69.75" customHeight="1" x14ac:dyDescent="0.2">
      <c r="A5" s="1"/>
      <c r="B5" s="1"/>
      <c r="C5" s="26"/>
      <c r="D5" s="86" t="s">
        <v>59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8" customHeight="1" x14ac:dyDescent="0.2">
      <c r="C6" s="53" t="s">
        <v>1</v>
      </c>
      <c r="D6" s="53" t="s">
        <v>2</v>
      </c>
      <c r="E6" s="55" t="s">
        <v>3</v>
      </c>
      <c r="F6" s="51"/>
      <c r="G6" s="51"/>
      <c r="H6" s="51"/>
      <c r="I6" s="51"/>
      <c r="J6" s="51"/>
      <c r="K6" s="51"/>
      <c r="L6" s="51"/>
      <c r="M6" s="51"/>
      <c r="N6" s="51"/>
      <c r="O6" s="52"/>
      <c r="P6" s="53" t="s">
        <v>4</v>
      </c>
    </row>
    <row r="7" spans="1:26" ht="60.75" customHeight="1" x14ac:dyDescent="0.2">
      <c r="A7" s="2"/>
      <c r="B7" s="2"/>
      <c r="C7" s="54"/>
      <c r="D7" s="54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70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4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1.25" customHeight="1" x14ac:dyDescent="0.4">
      <c r="A8" s="4"/>
      <c r="B8" s="4"/>
      <c r="C8" s="28" t="s">
        <v>16</v>
      </c>
      <c r="D8" s="6">
        <v>0</v>
      </c>
      <c r="E8" s="5">
        <v>950</v>
      </c>
      <c r="F8" s="5">
        <v>1615</v>
      </c>
      <c r="G8" s="5">
        <v>1360</v>
      </c>
      <c r="H8" s="5">
        <v>1190</v>
      </c>
      <c r="I8" s="5">
        <v>690</v>
      </c>
      <c r="J8" s="5">
        <v>20</v>
      </c>
      <c r="K8" s="5">
        <v>540</v>
      </c>
      <c r="L8" s="5">
        <v>480</v>
      </c>
      <c r="M8" s="5">
        <v>231</v>
      </c>
      <c r="N8" s="5">
        <v>280</v>
      </c>
      <c r="O8" s="5">
        <v>148.32</v>
      </c>
      <c r="P8" s="27">
        <f t="shared" ref="P8:P19" si="0">SUM(D8:O8)</f>
        <v>7504.32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41.25" customHeight="1" x14ac:dyDescent="0.4">
      <c r="A9" s="4"/>
      <c r="B9" s="4"/>
      <c r="C9" s="28" t="s">
        <v>17</v>
      </c>
      <c r="D9" s="6">
        <v>0</v>
      </c>
      <c r="E9" s="5">
        <v>4134.6899999999996</v>
      </c>
      <c r="F9" s="5">
        <v>13923.34</v>
      </c>
      <c r="G9" s="5">
        <v>13063.55</v>
      </c>
      <c r="H9" s="5">
        <v>10320.719999999999</v>
      </c>
      <c r="I9" s="5">
        <v>5319.63</v>
      </c>
      <c r="J9" s="5">
        <v>1540.53</v>
      </c>
      <c r="K9" s="5">
        <v>4521.18</v>
      </c>
      <c r="L9" s="5">
        <v>3404.02</v>
      </c>
      <c r="M9" s="5">
        <v>1434.79</v>
      </c>
      <c r="N9" s="5">
        <v>0</v>
      </c>
      <c r="O9" s="5">
        <v>1276.3599999999999</v>
      </c>
      <c r="P9" s="27">
        <f t="shared" si="0"/>
        <v>58938.80999999999</v>
      </c>
      <c r="Q9" s="4" t="s">
        <v>18</v>
      </c>
      <c r="R9" s="4"/>
      <c r="S9" s="4"/>
      <c r="T9" s="4"/>
      <c r="U9" s="4"/>
      <c r="V9" s="4"/>
      <c r="W9" s="4"/>
      <c r="X9" s="4"/>
      <c r="Y9" s="4"/>
      <c r="Z9" s="4"/>
    </row>
    <row r="10" spans="1:26" ht="41.25" customHeight="1" x14ac:dyDescent="0.4">
      <c r="A10" s="4"/>
      <c r="B10" s="4"/>
      <c r="C10" s="28" t="s">
        <v>19</v>
      </c>
      <c r="D10" s="6">
        <v>0</v>
      </c>
      <c r="E10" s="5">
        <v>1614.29</v>
      </c>
      <c r="F10" s="5">
        <v>-70</v>
      </c>
      <c r="G10" s="5">
        <v>-6751.13</v>
      </c>
      <c r="H10" s="5">
        <v>-418.21</v>
      </c>
      <c r="I10" s="5">
        <v>-6682.76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465.34</v>
      </c>
      <c r="P10" s="27">
        <f t="shared" si="0"/>
        <v>-11842.470000000001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41.25" customHeight="1" x14ac:dyDescent="0.4">
      <c r="A11" s="4"/>
      <c r="B11" s="4"/>
      <c r="C11" s="28" t="s">
        <v>20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27">
        <f t="shared" si="0"/>
        <v>0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41.25" customHeight="1" x14ac:dyDescent="0.4">
      <c r="A12" s="4"/>
      <c r="B12" s="4"/>
      <c r="C12" s="39" t="s">
        <v>65</v>
      </c>
      <c r="D12" s="6">
        <f>0.76+0.85+0.92+1.79-1.54</f>
        <v>2.7800000000000002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27">
        <f t="shared" si="0"/>
        <v>2.7800000000000002</v>
      </c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41.25" customHeight="1" x14ac:dyDescent="0.4">
      <c r="A13" s="4"/>
      <c r="B13" s="4"/>
      <c r="C13" s="39" t="s">
        <v>54</v>
      </c>
      <c r="D13" s="5">
        <f>1.15+0.19+16.77+9.5+1.34+12.84</f>
        <v>41.79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27">
        <f t="shared" si="0"/>
        <v>41.79</v>
      </c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41.25" customHeight="1" x14ac:dyDescent="0.4">
      <c r="A14" s="4"/>
      <c r="B14" s="4"/>
      <c r="C14" s="28" t="s">
        <v>21</v>
      </c>
      <c r="D14" s="6">
        <v>0</v>
      </c>
      <c r="E14" s="5">
        <v>0</v>
      </c>
      <c r="F14" s="7">
        <v>0</v>
      </c>
      <c r="G14" s="6">
        <v>0</v>
      </c>
      <c r="H14" s="6">
        <v>0</v>
      </c>
      <c r="I14" s="6">
        <v>0</v>
      </c>
      <c r="J14" s="7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27">
        <f t="shared" si="0"/>
        <v>0</v>
      </c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41.25" customHeight="1" x14ac:dyDescent="0.4">
      <c r="A15" s="4"/>
      <c r="B15" s="4"/>
      <c r="C15" s="39" t="s">
        <v>22</v>
      </c>
      <c r="D15" s="6">
        <v>0</v>
      </c>
      <c r="E15" s="5">
        <v>0</v>
      </c>
      <c r="F15" s="7">
        <v>0</v>
      </c>
      <c r="G15" s="6">
        <v>0</v>
      </c>
      <c r="H15" s="6">
        <v>0</v>
      </c>
      <c r="I15" s="6">
        <v>0</v>
      </c>
      <c r="J15" s="7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27">
        <f t="shared" si="0"/>
        <v>0</v>
      </c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41.25" customHeight="1" x14ac:dyDescent="0.4">
      <c r="A16" s="4"/>
      <c r="B16" s="4"/>
      <c r="C16" s="39" t="s">
        <v>66</v>
      </c>
      <c r="D16" s="5">
        <v>0</v>
      </c>
      <c r="E16" s="5">
        <v>390</v>
      </c>
      <c r="F16" s="5">
        <v>810</v>
      </c>
      <c r="G16" s="5">
        <v>1800</v>
      </c>
      <c r="H16" s="5">
        <v>680</v>
      </c>
      <c r="I16" s="7">
        <v>210</v>
      </c>
      <c r="J16" s="7">
        <v>160</v>
      </c>
      <c r="K16" s="5">
        <v>1090</v>
      </c>
      <c r="L16" s="5">
        <v>250</v>
      </c>
      <c r="M16" s="5">
        <v>40</v>
      </c>
      <c r="N16" s="5">
        <v>320</v>
      </c>
      <c r="O16" s="7">
        <v>120</v>
      </c>
      <c r="P16" s="27">
        <f t="shared" si="0"/>
        <v>5870</v>
      </c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41.25" customHeight="1" x14ac:dyDescent="0.4">
      <c r="A17" s="4"/>
      <c r="B17" s="4"/>
      <c r="C17" s="28" t="s">
        <v>23</v>
      </c>
      <c r="D17" s="5">
        <v>0</v>
      </c>
      <c r="E17" s="5">
        <f>-870+200.54</f>
        <v>-669.46</v>
      </c>
      <c r="F17" s="5">
        <f>-70-3220.03+1235.12+210.2</f>
        <v>-1844.7100000000003</v>
      </c>
      <c r="G17" s="5">
        <f>4714-860.87</f>
        <v>3853.13</v>
      </c>
      <c r="H17" s="5">
        <f>135</f>
        <v>135</v>
      </c>
      <c r="I17" s="7">
        <f>8544.17-93.14</f>
        <v>8451.0300000000007</v>
      </c>
      <c r="J17" s="7">
        <v>121.67</v>
      </c>
      <c r="K17" s="5">
        <v>440</v>
      </c>
      <c r="L17" s="5">
        <v>0</v>
      </c>
      <c r="M17" s="5">
        <v>0</v>
      </c>
      <c r="N17" s="5">
        <v>620</v>
      </c>
      <c r="O17" s="7">
        <f>-478.03-0.05+62.74</f>
        <v>-415.34</v>
      </c>
      <c r="P17" s="27">
        <f t="shared" si="0"/>
        <v>10691.320000000002</v>
      </c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41.25" customHeight="1" x14ac:dyDescent="0.4">
      <c r="A18" s="4"/>
      <c r="B18" s="4"/>
      <c r="C18" s="29" t="s">
        <v>50</v>
      </c>
      <c r="D18" s="6">
        <v>0</v>
      </c>
      <c r="E18" s="5">
        <v>0</v>
      </c>
      <c r="F18" s="5">
        <v>0</v>
      </c>
      <c r="G18" s="5">
        <v>0</v>
      </c>
      <c r="H18" s="6">
        <v>-1473.85</v>
      </c>
      <c r="I18" s="7">
        <v>0</v>
      </c>
      <c r="J18" s="7">
        <v>0</v>
      </c>
      <c r="K18" s="6">
        <v>0</v>
      </c>
      <c r="L18" s="6">
        <v>0</v>
      </c>
      <c r="M18" s="6">
        <v>0</v>
      </c>
      <c r="N18" s="6">
        <v>-600</v>
      </c>
      <c r="O18" s="6">
        <v>0</v>
      </c>
      <c r="P18" s="27">
        <f t="shared" si="0"/>
        <v>-2073.85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41.25" customHeight="1" x14ac:dyDescent="0.4">
      <c r="A19" s="4"/>
      <c r="B19" s="4"/>
      <c r="C19" s="30" t="s">
        <v>24</v>
      </c>
      <c r="D19" s="7">
        <v>0</v>
      </c>
      <c r="E19" s="5">
        <v>-160.77000000000001</v>
      </c>
      <c r="F19" s="5">
        <v>295</v>
      </c>
      <c r="G19" s="5">
        <v>1223.75</v>
      </c>
      <c r="H19" s="5">
        <v>0</v>
      </c>
      <c r="I19" s="5">
        <v>133.09</v>
      </c>
      <c r="J19" s="6">
        <v>-178.03</v>
      </c>
      <c r="K19" s="6">
        <v>0</v>
      </c>
      <c r="L19" s="5">
        <v>1.23</v>
      </c>
      <c r="M19" s="7">
        <v>-40</v>
      </c>
      <c r="N19" s="6">
        <v>0</v>
      </c>
      <c r="O19" s="7">
        <v>0.12</v>
      </c>
      <c r="P19" s="27">
        <f t="shared" si="0"/>
        <v>1274.3899999999999</v>
      </c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59.25" customHeight="1" x14ac:dyDescent="0.2">
      <c r="A20" s="1"/>
      <c r="B20" s="1"/>
      <c r="C20" s="31" t="s">
        <v>25</v>
      </c>
      <c r="D20" s="8">
        <f t="shared" ref="D20:P20" si="1">SUM(D8:D19)</f>
        <v>44.57</v>
      </c>
      <c r="E20" s="8">
        <f t="shared" si="1"/>
        <v>6258.7499999999991</v>
      </c>
      <c r="F20" s="8">
        <f t="shared" si="1"/>
        <v>14728.63</v>
      </c>
      <c r="G20" s="8">
        <f t="shared" si="1"/>
        <v>14549.3</v>
      </c>
      <c r="H20" s="8">
        <f t="shared" si="1"/>
        <v>10433.66</v>
      </c>
      <c r="I20" s="8">
        <f t="shared" si="1"/>
        <v>8120.9900000000007</v>
      </c>
      <c r="J20" s="8">
        <f t="shared" si="1"/>
        <v>1664.17</v>
      </c>
      <c r="K20" s="8">
        <f t="shared" si="1"/>
        <v>6591.18</v>
      </c>
      <c r="L20" s="8">
        <f t="shared" si="1"/>
        <v>4135.25</v>
      </c>
      <c r="M20" s="8">
        <f t="shared" si="1"/>
        <v>1665.79</v>
      </c>
      <c r="N20" s="8">
        <f t="shared" si="1"/>
        <v>620</v>
      </c>
      <c r="O20" s="8">
        <f t="shared" si="1"/>
        <v>1594.7999999999997</v>
      </c>
      <c r="P20" s="8">
        <f t="shared" si="1"/>
        <v>70407.089999999982</v>
      </c>
      <c r="Q20" s="1"/>
      <c r="R20" s="32"/>
      <c r="S20" s="1"/>
      <c r="T20" s="1"/>
      <c r="U20" s="1"/>
      <c r="V20" s="1"/>
      <c r="W20" s="1"/>
      <c r="X20" s="1"/>
      <c r="Y20" s="1"/>
      <c r="Z20" s="1"/>
    </row>
    <row r="21" spans="1:26" ht="30" customHeight="1" x14ac:dyDescent="0.2">
      <c r="C21" s="53" t="s">
        <v>26</v>
      </c>
      <c r="D21" s="60" t="s">
        <v>2</v>
      </c>
      <c r="E21" s="6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</row>
    <row r="22" spans="1:26" ht="75.75" customHeight="1" x14ac:dyDescent="0.2">
      <c r="C22" s="54"/>
      <c r="D22" s="54"/>
      <c r="E22" s="21" t="s">
        <v>5</v>
      </c>
      <c r="F22" s="3" t="s">
        <v>6</v>
      </c>
      <c r="G22" s="3" t="s">
        <v>7</v>
      </c>
      <c r="H22" s="3" t="s">
        <v>8</v>
      </c>
      <c r="I22" s="3" t="s">
        <v>9</v>
      </c>
      <c r="J22" s="21" t="s">
        <v>70</v>
      </c>
      <c r="K22" s="3" t="s">
        <v>11</v>
      </c>
      <c r="L22" s="3" t="s">
        <v>12</v>
      </c>
      <c r="M22" s="3" t="s">
        <v>13</v>
      </c>
      <c r="N22" s="3" t="s">
        <v>14</v>
      </c>
      <c r="O22" s="3" t="s">
        <v>15</v>
      </c>
      <c r="P22" s="16" t="s">
        <v>4</v>
      </c>
    </row>
    <row r="23" spans="1:26" ht="41.25" customHeight="1" x14ac:dyDescent="0.2">
      <c r="A23" s="9"/>
      <c r="B23" s="9"/>
      <c r="C23" s="33" t="s">
        <v>27</v>
      </c>
      <c r="D23" s="22">
        <f>(283.5+412.5+198.8+607.2+551.7+481+629.5+1040+62.69+240.75+763.4+900+403+139.5+3373.33+600+642+86.5+3851)+(675.93+653+283.5+578.55+606.5+470.9+462.23+18+280+375+1009.5+2390.6+591.3+50+206.6+51.5+954.75+259.5+863.3+259.5-83+733.78+903.1+647.6+361.5+694.2+474.5+249.75+466+1573.5+67.23+553.5+676)</f>
        <v>33624.19</v>
      </c>
      <c r="E23" s="5">
        <v>1762</v>
      </c>
      <c r="F23" s="7">
        <f>7732.94+1966.65</f>
        <v>9699.59</v>
      </c>
      <c r="G23" s="5">
        <v>0</v>
      </c>
      <c r="H23" s="6">
        <v>5228.83</v>
      </c>
      <c r="I23" s="7">
        <v>7348.79</v>
      </c>
      <c r="J23" s="5">
        <v>549.47</v>
      </c>
      <c r="K23" s="6">
        <v>0</v>
      </c>
      <c r="L23" s="5">
        <v>3119</v>
      </c>
      <c r="M23" s="6">
        <v>0</v>
      </c>
      <c r="N23" s="5">
        <v>0</v>
      </c>
      <c r="O23" s="6">
        <v>0</v>
      </c>
      <c r="P23" s="34">
        <f t="shared" ref="P23:P34" si="2">SUM(D23:O23)</f>
        <v>61331.87</v>
      </c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41.25" customHeight="1" x14ac:dyDescent="0.2">
      <c r="A24" s="9"/>
      <c r="B24" s="9"/>
      <c r="C24" s="28" t="s">
        <v>28</v>
      </c>
      <c r="D24" s="36">
        <v>0</v>
      </c>
      <c r="E24" s="5">
        <v>370</v>
      </c>
      <c r="F24" s="5">
        <v>1213.5</v>
      </c>
      <c r="G24" s="5">
        <v>1260</v>
      </c>
      <c r="H24" s="5">
        <v>585.13</v>
      </c>
      <c r="I24" s="5">
        <v>772.2</v>
      </c>
      <c r="J24" s="5">
        <v>100</v>
      </c>
      <c r="K24" s="5">
        <v>280</v>
      </c>
      <c r="L24" s="5">
        <v>280</v>
      </c>
      <c r="M24" s="5">
        <v>150</v>
      </c>
      <c r="N24" s="5">
        <v>0</v>
      </c>
      <c r="O24" s="5">
        <v>50</v>
      </c>
      <c r="P24" s="34">
        <f t="shared" si="2"/>
        <v>5060.83</v>
      </c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40.5" customHeight="1" x14ac:dyDescent="0.2">
      <c r="A25" s="9"/>
      <c r="B25" s="9"/>
      <c r="C25" s="28" t="s">
        <v>29</v>
      </c>
      <c r="D25" s="36">
        <f>1040+740+240+395.46-395.46</f>
        <v>2020</v>
      </c>
      <c r="E25" s="5">
        <v>0</v>
      </c>
      <c r="F25" s="5">
        <v>0</v>
      </c>
      <c r="G25" s="5">
        <v>0</v>
      </c>
      <c r="H25" s="6">
        <v>0</v>
      </c>
      <c r="I25" s="6">
        <v>0</v>
      </c>
      <c r="J25" s="5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34">
        <f t="shared" si="2"/>
        <v>2020</v>
      </c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41.25" customHeight="1" x14ac:dyDescent="0.2">
      <c r="A26" s="9"/>
      <c r="B26" s="9"/>
      <c r="C26" s="28" t="s">
        <v>30</v>
      </c>
      <c r="D26" s="23">
        <v>140</v>
      </c>
      <c r="E26" s="5">
        <v>0</v>
      </c>
      <c r="F26" s="6">
        <v>0</v>
      </c>
      <c r="G26" s="5">
        <v>550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4">
        <f t="shared" si="2"/>
        <v>690</v>
      </c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41.25" customHeight="1" x14ac:dyDescent="0.2">
      <c r="A27" s="9"/>
      <c r="B27" s="9"/>
      <c r="C27" s="30" t="s">
        <v>51</v>
      </c>
      <c r="D27" s="22">
        <v>900</v>
      </c>
      <c r="E27" s="6">
        <v>0</v>
      </c>
      <c r="F27" s="7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4">
        <f t="shared" si="2"/>
        <v>900</v>
      </c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41.25" customHeight="1" x14ac:dyDescent="0.2">
      <c r="A28" s="9"/>
      <c r="B28" s="9"/>
      <c r="C28" s="29" t="s">
        <v>48</v>
      </c>
      <c r="D28" s="23">
        <v>0</v>
      </c>
      <c r="E28" s="6">
        <v>0</v>
      </c>
      <c r="F28" s="5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4">
        <f t="shared" si="2"/>
        <v>0</v>
      </c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41.25" customHeight="1" x14ac:dyDescent="0.2">
      <c r="A29" s="9"/>
      <c r="B29" s="9"/>
      <c r="C29" s="28" t="s">
        <v>31</v>
      </c>
      <c r="D29" s="22">
        <f>800+20</f>
        <v>820</v>
      </c>
      <c r="E29" s="6">
        <v>0</v>
      </c>
      <c r="F29" s="6">
        <v>0</v>
      </c>
      <c r="G29" s="5">
        <v>0</v>
      </c>
      <c r="H29" s="6">
        <v>0</v>
      </c>
      <c r="I29" s="6">
        <v>0</v>
      </c>
      <c r="J29" s="6">
        <v>0</v>
      </c>
      <c r="K29" s="6">
        <v>2083.5</v>
      </c>
      <c r="L29" s="6">
        <v>0</v>
      </c>
      <c r="M29" s="6">
        <v>0</v>
      </c>
      <c r="N29" s="6">
        <v>0</v>
      </c>
      <c r="O29" s="6">
        <v>0</v>
      </c>
      <c r="P29" s="34">
        <f t="shared" si="2"/>
        <v>2903.5</v>
      </c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41.25" customHeight="1" x14ac:dyDescent="0.2">
      <c r="A30" s="9"/>
      <c r="B30" s="9"/>
      <c r="C30" s="39" t="s">
        <v>32</v>
      </c>
      <c r="D30" s="22">
        <v>41.9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4">
        <f t="shared" si="2"/>
        <v>41.9</v>
      </c>
      <c r="Q30" s="9"/>
      <c r="R30" s="10"/>
      <c r="S30" s="9"/>
      <c r="T30" s="9"/>
      <c r="U30" s="9"/>
      <c r="V30" s="9"/>
      <c r="W30" s="9"/>
      <c r="X30" s="9"/>
      <c r="Y30" s="9"/>
      <c r="Z30" s="9"/>
    </row>
    <row r="31" spans="1:26" ht="41.25" customHeight="1" x14ac:dyDescent="0.2">
      <c r="A31" s="9"/>
      <c r="B31" s="9"/>
      <c r="C31" s="39" t="s">
        <v>55</v>
      </c>
      <c r="D31" s="22">
        <v>1.2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4">
        <f t="shared" si="2"/>
        <v>1.2</v>
      </c>
      <c r="Q31" s="9"/>
      <c r="R31" s="10"/>
      <c r="S31" s="9"/>
      <c r="T31" s="9"/>
      <c r="U31" s="9"/>
      <c r="V31" s="9"/>
      <c r="W31" s="9"/>
      <c r="X31" s="9"/>
      <c r="Y31" s="9"/>
      <c r="Z31" s="9"/>
    </row>
    <row r="32" spans="1:26" ht="41.25" customHeight="1" x14ac:dyDescent="0.2">
      <c r="A32" s="9"/>
      <c r="B32" s="9"/>
      <c r="C32" s="39" t="s">
        <v>33</v>
      </c>
      <c r="D32" s="22">
        <v>2.86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4">
        <f t="shared" si="2"/>
        <v>2.86</v>
      </c>
      <c r="Q32" s="9"/>
      <c r="R32" s="10"/>
      <c r="S32" s="9"/>
      <c r="T32" s="9"/>
      <c r="U32" s="9"/>
      <c r="V32" s="9"/>
      <c r="W32" s="9"/>
      <c r="X32" s="9"/>
      <c r="Y32" s="9"/>
      <c r="Z32" s="9"/>
    </row>
    <row r="33" spans="1:26" ht="41.25" customHeight="1" x14ac:dyDescent="0.2">
      <c r="A33" s="9"/>
      <c r="B33" s="9"/>
      <c r="C33" s="30" t="s">
        <v>49</v>
      </c>
      <c r="D33" s="22">
        <v>0</v>
      </c>
      <c r="E33" s="6">
        <v>0</v>
      </c>
      <c r="F33" s="6">
        <v>0</v>
      </c>
      <c r="G33" s="5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4">
        <f t="shared" si="2"/>
        <v>0</v>
      </c>
      <c r="Q33" s="9"/>
      <c r="R33" s="10"/>
      <c r="S33" s="9"/>
      <c r="T33" s="9"/>
      <c r="U33" s="9"/>
      <c r="V33" s="9"/>
      <c r="W33" s="9"/>
      <c r="X33" s="9"/>
      <c r="Y33" s="9"/>
      <c r="Z33" s="9"/>
    </row>
    <row r="34" spans="1:26" ht="41.25" customHeight="1" x14ac:dyDescent="0.2">
      <c r="A34" s="9"/>
      <c r="B34" s="9"/>
      <c r="C34" s="11" t="s">
        <v>34</v>
      </c>
      <c r="D34" s="23">
        <v>0</v>
      </c>
      <c r="E34" s="5">
        <v>0</v>
      </c>
      <c r="F34" s="7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4">
        <f t="shared" si="2"/>
        <v>0</v>
      </c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60.75" customHeight="1" x14ac:dyDescent="0.2">
      <c r="A35" s="12"/>
      <c r="B35" s="12"/>
      <c r="C35" s="31" t="s">
        <v>35</v>
      </c>
      <c r="D35" s="13">
        <f t="shared" ref="D35:P35" si="3">SUM(D23:D34)</f>
        <v>37550.15</v>
      </c>
      <c r="E35" s="13">
        <f t="shared" si="3"/>
        <v>2132</v>
      </c>
      <c r="F35" s="13">
        <f t="shared" si="3"/>
        <v>10913.09</v>
      </c>
      <c r="G35" s="13">
        <f t="shared" si="3"/>
        <v>1810</v>
      </c>
      <c r="H35" s="13">
        <f t="shared" si="3"/>
        <v>5813.96</v>
      </c>
      <c r="I35" s="13">
        <f t="shared" si="3"/>
        <v>8120.99</v>
      </c>
      <c r="J35" s="13">
        <f t="shared" si="3"/>
        <v>649.47</v>
      </c>
      <c r="K35" s="13">
        <f t="shared" si="3"/>
        <v>2363.5</v>
      </c>
      <c r="L35" s="13">
        <f t="shared" si="3"/>
        <v>3399</v>
      </c>
      <c r="M35" s="13">
        <f t="shared" si="3"/>
        <v>150</v>
      </c>
      <c r="N35" s="13">
        <f t="shared" si="3"/>
        <v>0</v>
      </c>
      <c r="O35" s="13">
        <f t="shared" si="3"/>
        <v>50</v>
      </c>
      <c r="P35" s="13">
        <f t="shared" si="3"/>
        <v>72952.159999999989</v>
      </c>
      <c r="Q35" s="12"/>
      <c r="R35" s="14"/>
      <c r="S35" s="12"/>
      <c r="T35" s="12"/>
      <c r="U35" s="12"/>
      <c r="V35" s="12"/>
      <c r="W35" s="12"/>
      <c r="X35" s="12"/>
      <c r="Y35" s="12"/>
      <c r="Z35" s="12"/>
    </row>
    <row r="36" spans="1:26" ht="59.25" customHeight="1" x14ac:dyDescent="0.2">
      <c r="A36" s="1"/>
      <c r="B36" s="1"/>
      <c r="C36" s="38" t="s">
        <v>36</v>
      </c>
      <c r="D36" s="15"/>
      <c r="E36" s="15">
        <f t="shared" ref="E36:P36" si="4">E20-E35</f>
        <v>4126.7499999999991</v>
      </c>
      <c r="F36" s="15">
        <f t="shared" si="4"/>
        <v>3815.5399999999991</v>
      </c>
      <c r="G36" s="15">
        <f t="shared" si="4"/>
        <v>12739.3</v>
      </c>
      <c r="H36" s="15">
        <f t="shared" si="4"/>
        <v>4619.7</v>
      </c>
      <c r="I36" s="15">
        <f t="shared" si="4"/>
        <v>0</v>
      </c>
      <c r="J36" s="15">
        <f t="shared" si="4"/>
        <v>1014.7</v>
      </c>
      <c r="K36" s="15">
        <f t="shared" si="4"/>
        <v>4227.68</v>
      </c>
      <c r="L36" s="15">
        <f t="shared" si="4"/>
        <v>736.25</v>
      </c>
      <c r="M36" s="15">
        <f t="shared" si="4"/>
        <v>1515.79</v>
      </c>
      <c r="N36" s="15">
        <f t="shared" si="4"/>
        <v>620</v>
      </c>
      <c r="O36" s="15">
        <f t="shared" si="4"/>
        <v>1544.7999999999997</v>
      </c>
      <c r="P36" s="15">
        <f t="shared" si="4"/>
        <v>-2545.070000000007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4.25" customHeight="1" x14ac:dyDescent="0.2">
      <c r="A37" s="1"/>
      <c r="B37" s="1"/>
      <c r="C37" s="35" t="s">
        <v>52</v>
      </c>
      <c r="D37" s="17"/>
      <c r="E37" s="17">
        <v>4126.75</v>
      </c>
      <c r="F37" s="17">
        <f>572.46+808.35+1235.12+1016.13+183.48</f>
        <v>3815.54</v>
      </c>
      <c r="G37" s="25">
        <f>12000+739.3</f>
        <v>12739.3</v>
      </c>
      <c r="H37" s="24">
        <f>4272.95+346.75</f>
        <v>4619.7</v>
      </c>
      <c r="I37" s="24">
        <v>0</v>
      </c>
      <c r="J37" s="25">
        <f>244.52+607.38+162.8</f>
        <v>1014.7</v>
      </c>
      <c r="K37" s="25">
        <f>3787.68+440</f>
        <v>4227.68</v>
      </c>
      <c r="L37" s="25">
        <v>736.25</v>
      </c>
      <c r="M37" s="24">
        <v>1515.79</v>
      </c>
      <c r="N37" s="24">
        <v>620</v>
      </c>
      <c r="O37" s="25">
        <v>1544.8</v>
      </c>
      <c r="P37" s="17">
        <f>SUM(E37:O37)</f>
        <v>34960.51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0.5" customHeight="1" x14ac:dyDescent="0.45"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26" ht="12.75" customHeight="1" x14ac:dyDescent="0.2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26" ht="12.75" customHeight="1" x14ac:dyDescent="0.2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26" ht="13.5" customHeight="1" thickBot="1" x14ac:dyDescent="0.25"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26" ht="45" customHeight="1" x14ac:dyDescent="0.2">
      <c r="C42" s="62" t="s">
        <v>37</v>
      </c>
      <c r="D42" s="63"/>
      <c r="E42" s="63"/>
      <c r="F42" s="63"/>
      <c r="G42" s="63"/>
      <c r="H42" s="63"/>
      <c r="I42" s="63"/>
      <c r="J42" s="64"/>
      <c r="K42" s="19"/>
      <c r="L42" s="19"/>
      <c r="M42" s="19"/>
    </row>
    <row r="43" spans="1:26" ht="34.5" customHeight="1" x14ac:dyDescent="0.2">
      <c r="C43" s="65" t="s">
        <v>38</v>
      </c>
      <c r="D43" s="52"/>
      <c r="E43" s="66">
        <v>0.03</v>
      </c>
      <c r="F43" s="52"/>
      <c r="G43" s="66">
        <v>0.02</v>
      </c>
      <c r="H43" s="52"/>
      <c r="I43" s="59" t="s">
        <v>4</v>
      </c>
      <c r="J43" s="67"/>
      <c r="K43" s="19"/>
      <c r="L43" s="19"/>
      <c r="M43" s="19"/>
    </row>
    <row r="44" spans="1:26" ht="36" customHeight="1" thickBot="1" x14ac:dyDescent="0.25">
      <c r="C44" s="68" t="s">
        <v>39</v>
      </c>
      <c r="D44" s="69"/>
      <c r="E44" s="70">
        <f>P9*0.03</f>
        <v>1768.1642999999997</v>
      </c>
      <c r="F44" s="69"/>
      <c r="G44" s="70">
        <f>P9*0.02</f>
        <v>1178.7761999999998</v>
      </c>
      <c r="H44" s="69"/>
      <c r="I44" s="71">
        <f>SUM(E44:H44)</f>
        <v>2946.9404999999997</v>
      </c>
      <c r="J44" s="72"/>
      <c r="K44" s="19"/>
      <c r="L44" s="19"/>
      <c r="M44" s="19"/>
    </row>
    <row r="45" spans="1:26" ht="12.75" customHeight="1" x14ac:dyDescent="0.2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26" ht="12.75" customHeight="1" x14ac:dyDescent="0.2"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26" ht="12.75" customHeight="1" x14ac:dyDescent="0.2"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26" ht="12.75" customHeight="1" x14ac:dyDescent="0.2"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3:17" ht="12.75" customHeight="1" x14ac:dyDescent="0.2"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3:17" ht="12.75" customHeight="1" x14ac:dyDescent="0.2"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3:17" ht="12.75" customHeight="1" x14ac:dyDescent="0.2"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3:17" ht="13.5" customHeight="1" thickBot="1" x14ac:dyDescent="0.25"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3:17" ht="59.25" customHeight="1" x14ac:dyDescent="0.2">
      <c r="C53" s="62" t="s">
        <v>40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4"/>
      <c r="O53" s="19"/>
    </row>
    <row r="54" spans="3:17" ht="59.25" customHeight="1" x14ac:dyDescent="0.2">
      <c r="C54" s="79" t="s">
        <v>41</v>
      </c>
      <c r="D54" s="46"/>
      <c r="E54" s="56" t="s">
        <v>42</v>
      </c>
      <c r="F54" s="46"/>
      <c r="G54" s="81" t="s">
        <v>43</v>
      </c>
      <c r="H54" s="51"/>
      <c r="I54" s="51"/>
      <c r="J54" s="51"/>
      <c r="K54" s="51"/>
      <c r="L54" s="52"/>
      <c r="M54" s="56" t="s">
        <v>44</v>
      </c>
      <c r="N54" s="57"/>
      <c r="O54" s="19"/>
    </row>
    <row r="55" spans="3:17" ht="41.25" customHeight="1" x14ac:dyDescent="0.2">
      <c r="C55" s="80"/>
      <c r="D55" s="49"/>
      <c r="E55" s="47"/>
      <c r="F55" s="49"/>
      <c r="G55" s="59" t="s">
        <v>45</v>
      </c>
      <c r="H55" s="52"/>
      <c r="I55" s="59" t="s">
        <v>46</v>
      </c>
      <c r="J55" s="52"/>
      <c r="K55" s="59" t="s">
        <v>36</v>
      </c>
      <c r="L55" s="52"/>
      <c r="M55" s="47"/>
      <c r="N55" s="58"/>
      <c r="O55" s="19"/>
      <c r="P55" s="19"/>
      <c r="Q55" s="19"/>
    </row>
    <row r="56" spans="3:17" ht="41.25" customHeight="1" x14ac:dyDescent="0.2">
      <c r="C56" s="73" t="s">
        <v>47</v>
      </c>
      <c r="D56" s="52"/>
      <c r="E56" s="74">
        <v>3604.87</v>
      </c>
      <c r="F56" s="52"/>
      <c r="G56" s="75">
        <v>18746.259999999998</v>
      </c>
      <c r="H56" s="52"/>
      <c r="I56" s="76">
        <v>-20662.48</v>
      </c>
      <c r="J56" s="52"/>
      <c r="K56" s="87">
        <f t="shared" ref="K56:K57" si="5">G56+I56</f>
        <v>-1916.2200000000012</v>
      </c>
      <c r="L56" s="52"/>
      <c r="M56" s="82">
        <f t="shared" ref="M56:M58" si="6">E56+K56</f>
        <v>1688.6499999999987</v>
      </c>
      <c r="N56" s="67"/>
      <c r="O56" s="19"/>
      <c r="P56" s="19"/>
      <c r="Q56" s="19"/>
    </row>
    <row r="57" spans="3:17" ht="41.25" customHeight="1" x14ac:dyDescent="0.2">
      <c r="C57" s="73" t="s">
        <v>53</v>
      </c>
      <c r="D57" s="52"/>
      <c r="E57" s="74">
        <v>23996.51</v>
      </c>
      <c r="F57" s="52"/>
      <c r="G57" s="75">
        <v>16738.82</v>
      </c>
      <c r="H57" s="52"/>
      <c r="I57" s="76">
        <v>-17331.57</v>
      </c>
      <c r="J57" s="52"/>
      <c r="K57" s="87">
        <f t="shared" si="5"/>
        <v>-592.75</v>
      </c>
      <c r="L57" s="90"/>
      <c r="M57" s="82">
        <f t="shared" si="6"/>
        <v>23403.759999999998</v>
      </c>
      <c r="N57" s="67"/>
      <c r="O57" s="19"/>
      <c r="P57" s="20"/>
      <c r="Q57" s="19"/>
    </row>
    <row r="58" spans="3:17" ht="60.75" customHeight="1" thickBot="1" x14ac:dyDescent="0.25">
      <c r="C58" s="68" t="s">
        <v>4</v>
      </c>
      <c r="D58" s="69"/>
      <c r="E58" s="70">
        <f>SUM(E56:F57)</f>
        <v>27601.379999999997</v>
      </c>
      <c r="F58" s="69"/>
      <c r="G58" s="70">
        <f>SUM(G56:H57)</f>
        <v>35485.08</v>
      </c>
      <c r="H58" s="69"/>
      <c r="I58" s="84">
        <f>SUM(I56:J57)</f>
        <v>-37994.050000000003</v>
      </c>
      <c r="J58" s="69"/>
      <c r="K58" s="84">
        <f>SUM(K56:L57)</f>
        <v>-2508.9700000000012</v>
      </c>
      <c r="L58" s="91"/>
      <c r="M58" s="70">
        <f t="shared" si="6"/>
        <v>25092.409999999996</v>
      </c>
      <c r="N58" s="72"/>
      <c r="O58" s="19"/>
      <c r="P58" s="19"/>
      <c r="Q58" s="19"/>
    </row>
    <row r="59" spans="3:17" ht="12.75" customHeight="1" x14ac:dyDescent="0.2"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3:17" ht="12.75" customHeight="1" x14ac:dyDescent="0.2"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3:17" ht="12.75" customHeight="1" x14ac:dyDescent="0.2"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3:17" ht="12.75" customHeight="1" x14ac:dyDescent="0.2"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3:17" ht="12.75" customHeight="1" x14ac:dyDescent="0.2"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3:17" ht="12.75" customHeight="1" x14ac:dyDescent="0.2"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4:15" ht="12.75" customHeight="1" x14ac:dyDescent="0.2"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4:15" ht="12.75" customHeight="1" x14ac:dyDescent="0.2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4:15" ht="12.75" customHeight="1" x14ac:dyDescent="0.2"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4:15" ht="12.75" customHeight="1" x14ac:dyDescent="0.2"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4:15" ht="12.75" customHeight="1" x14ac:dyDescent="0.2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4:15" ht="12.75" customHeight="1" x14ac:dyDescent="0.2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4:15" ht="12.75" customHeight="1" x14ac:dyDescent="0.2"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4:15" ht="12.75" customHeight="1" x14ac:dyDescent="0.2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4:15" ht="12.75" customHeight="1" x14ac:dyDescent="0.2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4:15" ht="12.75" customHeight="1" x14ac:dyDescent="0.2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4:15" ht="12.75" customHeight="1" x14ac:dyDescent="0.2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4:15" ht="12.75" customHeight="1" x14ac:dyDescent="0.2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4:15" ht="12.75" customHeight="1" x14ac:dyDescent="0.2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4:15" ht="12.75" customHeight="1" x14ac:dyDescent="0.2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4:15" ht="12.75" customHeight="1" x14ac:dyDescent="0.2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4:15" ht="12.75" customHeight="1" x14ac:dyDescent="0.2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4:15" ht="12.75" customHeight="1" x14ac:dyDescent="0.2"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4:15" ht="12.75" customHeight="1" x14ac:dyDescent="0.2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4:15" ht="12.75" customHeight="1" x14ac:dyDescent="0.2"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4:15" ht="12.75" customHeight="1" x14ac:dyDescent="0.2"/>
    <row r="85" spans="4:15" ht="12.75" customHeight="1" x14ac:dyDescent="0.2"/>
    <row r="86" spans="4:15" ht="12.75" customHeight="1" x14ac:dyDescent="0.2"/>
    <row r="87" spans="4:15" ht="12.75" customHeight="1" x14ac:dyDescent="0.2"/>
    <row r="88" spans="4:15" ht="12.75" customHeight="1" x14ac:dyDescent="0.2"/>
    <row r="89" spans="4:15" ht="12.75" customHeight="1" x14ac:dyDescent="0.2"/>
    <row r="90" spans="4:15" ht="12.75" customHeight="1" x14ac:dyDescent="0.2"/>
    <row r="91" spans="4:15" ht="12.75" customHeight="1" x14ac:dyDescent="0.2"/>
    <row r="92" spans="4:15" ht="12.75" customHeight="1" x14ac:dyDescent="0.2"/>
    <row r="93" spans="4:15" ht="12.75" customHeight="1" x14ac:dyDescent="0.2"/>
    <row r="94" spans="4:15" ht="12.75" customHeight="1" x14ac:dyDescent="0.2"/>
    <row r="95" spans="4:15" ht="12.75" customHeight="1" x14ac:dyDescent="0.2"/>
    <row r="96" spans="4:15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44">
    <mergeCell ref="M58:N58"/>
    <mergeCell ref="M56:N56"/>
    <mergeCell ref="C57:D57"/>
    <mergeCell ref="E57:F57"/>
    <mergeCell ref="G57:H57"/>
    <mergeCell ref="I57:J57"/>
    <mergeCell ref="K57:L57"/>
    <mergeCell ref="M57:N57"/>
    <mergeCell ref="C58:D58"/>
    <mergeCell ref="E58:F58"/>
    <mergeCell ref="G58:H58"/>
    <mergeCell ref="I58:J58"/>
    <mergeCell ref="K58:L58"/>
    <mergeCell ref="K55:L55"/>
    <mergeCell ref="C56:D56"/>
    <mergeCell ref="E56:F56"/>
    <mergeCell ref="G56:H56"/>
    <mergeCell ref="I56:J56"/>
    <mergeCell ref="K56:L56"/>
    <mergeCell ref="C54:D55"/>
    <mergeCell ref="E54:F55"/>
    <mergeCell ref="G54:L54"/>
    <mergeCell ref="M54:N55"/>
    <mergeCell ref="G55:H55"/>
    <mergeCell ref="C21:C22"/>
    <mergeCell ref="D21:D22"/>
    <mergeCell ref="E21:P21"/>
    <mergeCell ref="C42:J42"/>
    <mergeCell ref="C43:D43"/>
    <mergeCell ref="E43:F43"/>
    <mergeCell ref="G43:H43"/>
    <mergeCell ref="I43:J43"/>
    <mergeCell ref="C44:D44"/>
    <mergeCell ref="E44:F44"/>
    <mergeCell ref="G44:H44"/>
    <mergeCell ref="I44:J44"/>
    <mergeCell ref="C53:N53"/>
    <mergeCell ref="I55:J55"/>
    <mergeCell ref="C3:P4"/>
    <mergeCell ref="D5:P5"/>
    <mergeCell ref="C6:C7"/>
    <mergeCell ref="D6:D7"/>
    <mergeCell ref="E6:O6"/>
    <mergeCell ref="P6:P7"/>
  </mergeCell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39F23-0B7C-4865-B9ED-60161BC5E199}">
  <dimension ref="A1:Z1001"/>
  <sheetViews>
    <sheetView showGridLines="0" topLeftCell="H44" zoomScale="50" zoomScaleNormal="50" workbookViewId="0">
      <selection activeCell="M59" sqref="M59"/>
    </sheetView>
  </sheetViews>
  <sheetFormatPr defaultColWidth="14.42578125" defaultRowHeight="15" customHeight="1" x14ac:dyDescent="0.2"/>
  <cols>
    <col min="1" max="2" width="8" customWidth="1"/>
    <col min="3" max="3" width="138.28515625" customWidth="1"/>
    <col min="4" max="16" width="29.7109375" customWidth="1"/>
    <col min="17" max="17" width="8" customWidth="1"/>
    <col min="18" max="18" width="25.85546875" customWidth="1"/>
    <col min="19" max="26" width="8" customWidth="1"/>
  </cols>
  <sheetData>
    <row r="1" spans="1:26" ht="83.25" customHeight="1" x14ac:dyDescent="0.2"/>
    <row r="2" spans="1:26" ht="13.5" customHeight="1" x14ac:dyDescent="0.2"/>
    <row r="3" spans="1:26" ht="37.5" customHeight="1" x14ac:dyDescent="0.2">
      <c r="C3" s="44" t="s">
        <v>0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</row>
    <row r="4" spans="1:26" ht="37.5" customHeight="1" x14ac:dyDescent="0.2"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</row>
    <row r="5" spans="1:26" ht="69.75" customHeight="1" x14ac:dyDescent="0.2">
      <c r="A5" s="1"/>
      <c r="B5" s="1"/>
      <c r="C5" s="26"/>
      <c r="D5" s="86" t="s">
        <v>60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8" customHeight="1" x14ac:dyDescent="0.2">
      <c r="C6" s="53" t="s">
        <v>1</v>
      </c>
      <c r="D6" s="53" t="s">
        <v>2</v>
      </c>
      <c r="E6" s="55" t="s">
        <v>3</v>
      </c>
      <c r="F6" s="51"/>
      <c r="G6" s="51"/>
      <c r="H6" s="51"/>
      <c r="I6" s="51"/>
      <c r="J6" s="51"/>
      <c r="K6" s="51"/>
      <c r="L6" s="51"/>
      <c r="M6" s="51"/>
      <c r="N6" s="51"/>
      <c r="O6" s="52"/>
      <c r="P6" s="53" t="s">
        <v>4</v>
      </c>
    </row>
    <row r="7" spans="1:26" ht="60.75" customHeight="1" x14ac:dyDescent="0.2">
      <c r="A7" s="2"/>
      <c r="B7" s="2"/>
      <c r="C7" s="54"/>
      <c r="D7" s="54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70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4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1.25" customHeight="1" x14ac:dyDescent="0.4">
      <c r="A8" s="4"/>
      <c r="B8" s="4"/>
      <c r="C8" s="28" t="s">
        <v>16</v>
      </c>
      <c r="D8" s="6"/>
      <c r="E8" s="5">
        <v>970</v>
      </c>
      <c r="F8" s="5">
        <v>1610</v>
      </c>
      <c r="G8" s="5">
        <v>1360</v>
      </c>
      <c r="H8" s="5">
        <v>1170</v>
      </c>
      <c r="I8" s="5">
        <v>690</v>
      </c>
      <c r="J8" s="5">
        <v>20</v>
      </c>
      <c r="K8" s="5">
        <v>540</v>
      </c>
      <c r="L8" s="5">
        <v>560</v>
      </c>
      <c r="M8" s="5">
        <v>215</v>
      </c>
      <c r="N8" s="5">
        <v>280</v>
      </c>
      <c r="O8" s="5">
        <v>117</v>
      </c>
      <c r="P8" s="27">
        <f t="shared" ref="P8:P19" si="0">SUM(D8:O8)</f>
        <v>7532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41.25" customHeight="1" x14ac:dyDescent="0.4">
      <c r="A9" s="4"/>
      <c r="B9" s="4"/>
      <c r="C9" s="28" t="s">
        <v>17</v>
      </c>
      <c r="D9" s="6"/>
      <c r="E9" s="5">
        <v>4211.76</v>
      </c>
      <c r="F9" s="5">
        <v>14051.25</v>
      </c>
      <c r="G9" s="5">
        <v>14616.23</v>
      </c>
      <c r="H9" s="5">
        <v>8076.45</v>
      </c>
      <c r="I9" s="5">
        <v>5126.97</v>
      </c>
      <c r="J9" s="5">
        <v>2178.7199999999998</v>
      </c>
      <c r="K9" s="5">
        <v>4139.43</v>
      </c>
      <c r="L9" s="5">
        <v>3763.13</v>
      </c>
      <c r="M9" s="5">
        <v>978.67</v>
      </c>
      <c r="N9" s="5">
        <v>0</v>
      </c>
      <c r="O9" s="5">
        <v>1172.8699999999999</v>
      </c>
      <c r="P9" s="27">
        <f t="shared" si="0"/>
        <v>58315.48</v>
      </c>
      <c r="Q9" s="4" t="s">
        <v>18</v>
      </c>
      <c r="R9" s="4"/>
      <c r="S9" s="4"/>
      <c r="T9" s="4"/>
      <c r="U9" s="4"/>
      <c r="V9" s="4"/>
      <c r="W9" s="4"/>
      <c r="X9" s="4"/>
      <c r="Y9" s="4"/>
      <c r="Z9" s="4"/>
    </row>
    <row r="10" spans="1:26" ht="41.25" customHeight="1" x14ac:dyDescent="0.4">
      <c r="A10" s="4"/>
      <c r="B10" s="4"/>
      <c r="C10" s="28" t="s">
        <v>19</v>
      </c>
      <c r="D10" s="6"/>
      <c r="E10" s="5">
        <v>2984.02</v>
      </c>
      <c r="F10" s="5">
        <v>18.21</v>
      </c>
      <c r="G10" s="5">
        <v>-6711.23</v>
      </c>
      <c r="H10" s="5">
        <v>-842.73</v>
      </c>
      <c r="I10" s="5">
        <v>-5343.72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27">
        <f t="shared" si="0"/>
        <v>-9895.4500000000007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41.25" customHeight="1" x14ac:dyDescent="0.4">
      <c r="A11" s="4"/>
      <c r="B11" s="4"/>
      <c r="C11" s="28" t="s">
        <v>20</v>
      </c>
      <c r="D11" s="6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27">
        <f t="shared" si="0"/>
        <v>0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41.25" customHeight="1" x14ac:dyDescent="0.4">
      <c r="A12" s="4"/>
      <c r="B12" s="4"/>
      <c r="C12" s="39" t="s">
        <v>65</v>
      </c>
      <c r="D12" s="6">
        <f>2.08+0.25-0.25-1.67</f>
        <v>0.41000000000000014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27">
        <f t="shared" si="0"/>
        <v>0.41000000000000014</v>
      </c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41.25" customHeight="1" x14ac:dyDescent="0.4">
      <c r="A13" s="4"/>
      <c r="B13" s="4"/>
      <c r="C13" s="39" t="s">
        <v>54</v>
      </c>
      <c r="D13" s="5">
        <f>0.19+14.16+1.35+12.55+17.57</f>
        <v>45.82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27">
        <f t="shared" si="0"/>
        <v>45.82</v>
      </c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41.25" customHeight="1" x14ac:dyDescent="0.4">
      <c r="A14" s="4"/>
      <c r="B14" s="4"/>
      <c r="C14" s="28" t="s">
        <v>21</v>
      </c>
      <c r="D14" s="6"/>
      <c r="E14" s="5">
        <v>0</v>
      </c>
      <c r="F14" s="7">
        <v>0</v>
      </c>
      <c r="G14" s="6">
        <v>0</v>
      </c>
      <c r="H14" s="6">
        <v>0</v>
      </c>
      <c r="I14" s="6">
        <v>0</v>
      </c>
      <c r="J14" s="7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27">
        <f t="shared" si="0"/>
        <v>0</v>
      </c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41.25" customHeight="1" x14ac:dyDescent="0.4">
      <c r="A15" s="4"/>
      <c r="B15" s="4"/>
      <c r="C15" s="39" t="s">
        <v>22</v>
      </c>
      <c r="D15" s="6"/>
      <c r="E15" s="5">
        <v>0</v>
      </c>
      <c r="F15" s="7">
        <v>0</v>
      </c>
      <c r="G15" s="6">
        <v>0</v>
      </c>
      <c r="H15" s="6">
        <v>0</v>
      </c>
      <c r="I15" s="6">
        <v>0</v>
      </c>
      <c r="J15" s="7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27">
        <f t="shared" si="0"/>
        <v>0</v>
      </c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41.25" customHeight="1" x14ac:dyDescent="0.4">
      <c r="A16" s="4"/>
      <c r="B16" s="4"/>
      <c r="C16" s="39" t="s">
        <v>66</v>
      </c>
      <c r="D16" s="5">
        <f>591+392+321.3</f>
        <v>1304.3</v>
      </c>
      <c r="E16" s="5">
        <v>530</v>
      </c>
      <c r="F16" s="5">
        <v>980</v>
      </c>
      <c r="G16" s="5">
        <v>1730</v>
      </c>
      <c r="H16" s="5">
        <v>850</v>
      </c>
      <c r="I16" s="7">
        <v>490</v>
      </c>
      <c r="J16" s="7">
        <v>160</v>
      </c>
      <c r="K16" s="5">
        <v>1050</v>
      </c>
      <c r="L16" s="5">
        <v>290</v>
      </c>
      <c r="M16" s="5">
        <v>20</v>
      </c>
      <c r="N16" s="5">
        <v>320</v>
      </c>
      <c r="O16" s="7">
        <v>150</v>
      </c>
      <c r="P16" s="27">
        <f t="shared" si="0"/>
        <v>7874.3</v>
      </c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41.25" customHeight="1" x14ac:dyDescent="0.4">
      <c r="A17" s="4"/>
      <c r="B17" s="4"/>
      <c r="C17" s="28" t="s">
        <v>23</v>
      </c>
      <c r="D17" s="5"/>
      <c r="E17" s="5">
        <v>-2064.04</v>
      </c>
      <c r="F17" s="5">
        <v>-295.2</v>
      </c>
      <c r="G17" s="5">
        <f>6751.13-1223.75-0.07</f>
        <v>5527.31</v>
      </c>
      <c r="H17" s="5">
        <v>816.01</v>
      </c>
      <c r="I17" s="7">
        <f>6682.76-133.09</f>
        <v>6549.67</v>
      </c>
      <c r="J17" s="7">
        <v>178.03</v>
      </c>
      <c r="K17" s="5">
        <v>0</v>
      </c>
      <c r="L17" s="5">
        <v>-1.23</v>
      </c>
      <c r="M17" s="5">
        <v>40</v>
      </c>
      <c r="N17" s="5">
        <v>0</v>
      </c>
      <c r="O17" s="7">
        <v>50.1</v>
      </c>
      <c r="P17" s="27">
        <f t="shared" si="0"/>
        <v>10800.650000000001</v>
      </c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41.25" customHeight="1" x14ac:dyDescent="0.4">
      <c r="A18" s="4"/>
      <c r="B18" s="4"/>
      <c r="C18" s="29" t="s">
        <v>50</v>
      </c>
      <c r="D18" s="6"/>
      <c r="E18" s="5">
        <v>0</v>
      </c>
      <c r="F18" s="5">
        <v>0</v>
      </c>
      <c r="G18" s="5">
        <v>0</v>
      </c>
      <c r="H18" s="6">
        <v>0</v>
      </c>
      <c r="I18" s="7">
        <v>0</v>
      </c>
      <c r="J18" s="7">
        <f>-138.41+0.2</f>
        <v>-138.21</v>
      </c>
      <c r="K18" s="6">
        <v>0</v>
      </c>
      <c r="L18" s="6">
        <v>0</v>
      </c>
      <c r="M18" s="6">
        <v>0</v>
      </c>
      <c r="N18" s="6">
        <v>-600</v>
      </c>
      <c r="O18" s="6">
        <v>0</v>
      </c>
      <c r="P18" s="27">
        <f t="shared" si="0"/>
        <v>-738.21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41.25" customHeight="1" x14ac:dyDescent="0.4">
      <c r="A19" s="4"/>
      <c r="B19" s="4"/>
      <c r="C19" s="30" t="s">
        <v>24</v>
      </c>
      <c r="D19" s="7"/>
      <c r="E19" s="5">
        <v>-104.87</v>
      </c>
      <c r="F19" s="5">
        <v>855.35</v>
      </c>
      <c r="G19" s="5">
        <v>1027.69</v>
      </c>
      <c r="H19" s="5">
        <v>-397.8</v>
      </c>
      <c r="I19" s="5">
        <v>17</v>
      </c>
      <c r="J19" s="6">
        <v>0</v>
      </c>
      <c r="K19" s="6">
        <v>0</v>
      </c>
      <c r="L19" s="5">
        <v>20.420000000000002</v>
      </c>
      <c r="M19" s="7">
        <v>-40</v>
      </c>
      <c r="N19" s="6">
        <v>0</v>
      </c>
      <c r="O19" s="7">
        <v>0.03</v>
      </c>
      <c r="P19" s="27">
        <f t="shared" si="0"/>
        <v>1377.8200000000002</v>
      </c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59.25" customHeight="1" x14ac:dyDescent="0.2">
      <c r="A20" s="1"/>
      <c r="B20" s="1"/>
      <c r="C20" s="31" t="s">
        <v>25</v>
      </c>
      <c r="D20" s="8">
        <f t="shared" ref="D20:P20" si="1">SUM(D8:D19)</f>
        <v>1350.53</v>
      </c>
      <c r="E20" s="8">
        <f t="shared" si="1"/>
        <v>6526.8700000000008</v>
      </c>
      <c r="F20" s="8">
        <f t="shared" si="1"/>
        <v>17219.609999999997</v>
      </c>
      <c r="G20" s="8">
        <f t="shared" si="1"/>
        <v>17550</v>
      </c>
      <c r="H20" s="8">
        <f t="shared" si="1"/>
        <v>9671.9300000000021</v>
      </c>
      <c r="I20" s="8">
        <f t="shared" si="1"/>
        <v>7529.92</v>
      </c>
      <c r="J20" s="8">
        <f t="shared" si="1"/>
        <v>2398.54</v>
      </c>
      <c r="K20" s="8">
        <f t="shared" si="1"/>
        <v>5729.43</v>
      </c>
      <c r="L20" s="8">
        <f t="shared" si="1"/>
        <v>4632.3200000000006</v>
      </c>
      <c r="M20" s="8">
        <f t="shared" si="1"/>
        <v>1213.67</v>
      </c>
      <c r="N20" s="8">
        <f t="shared" si="1"/>
        <v>0</v>
      </c>
      <c r="O20" s="8">
        <f t="shared" si="1"/>
        <v>1489.9999999999998</v>
      </c>
      <c r="P20" s="8">
        <f t="shared" si="1"/>
        <v>75312.820000000022</v>
      </c>
      <c r="Q20" s="1"/>
      <c r="R20" s="32"/>
      <c r="S20" s="1"/>
      <c r="T20" s="1"/>
      <c r="U20" s="1"/>
      <c r="V20" s="1"/>
      <c r="W20" s="1"/>
      <c r="X20" s="1"/>
      <c r="Y20" s="1"/>
      <c r="Z20" s="1"/>
    </row>
    <row r="21" spans="1:26" ht="30" customHeight="1" x14ac:dyDescent="0.2">
      <c r="C21" s="53" t="s">
        <v>26</v>
      </c>
      <c r="D21" s="60" t="s">
        <v>2</v>
      </c>
      <c r="E21" s="6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</row>
    <row r="22" spans="1:26" ht="75.75" customHeight="1" x14ac:dyDescent="0.2">
      <c r="C22" s="54"/>
      <c r="D22" s="54"/>
      <c r="E22" s="21" t="s">
        <v>5</v>
      </c>
      <c r="F22" s="3" t="s">
        <v>6</v>
      </c>
      <c r="G22" s="3" t="s">
        <v>7</v>
      </c>
      <c r="H22" s="3" t="s">
        <v>8</v>
      </c>
      <c r="I22" s="3" t="s">
        <v>9</v>
      </c>
      <c r="J22" s="21" t="s">
        <v>70</v>
      </c>
      <c r="K22" s="3" t="s">
        <v>11</v>
      </c>
      <c r="L22" s="3" t="s">
        <v>12</v>
      </c>
      <c r="M22" s="3" t="s">
        <v>13</v>
      </c>
      <c r="N22" s="3" t="s">
        <v>14</v>
      </c>
      <c r="O22" s="3" t="s">
        <v>15</v>
      </c>
      <c r="P22" s="16" t="s">
        <v>4</v>
      </c>
    </row>
    <row r="23" spans="1:26" ht="41.25" customHeight="1" x14ac:dyDescent="0.2">
      <c r="A23" s="9"/>
      <c r="B23" s="9"/>
      <c r="C23" s="33" t="s">
        <v>27</v>
      </c>
      <c r="D23" s="22">
        <f>(1622.5+611.68+687+632.7+976.1+666+992+825.5+3210+338)+(300+271.35+779.4+654.08+203.4+81+217+1780+1603+418.5+205.4+170+193.5+258.5+555.9+557+801+1009.2+532.9+712.5+300)</f>
        <v>22165.11</v>
      </c>
      <c r="E23" s="5">
        <v>0</v>
      </c>
      <c r="F23" s="7">
        <f>9424.7+4285.19</f>
        <v>13709.89</v>
      </c>
      <c r="G23" s="5">
        <v>0</v>
      </c>
      <c r="H23" s="6">
        <v>4935.1000000000004</v>
      </c>
      <c r="I23" s="7">
        <v>6756.52</v>
      </c>
      <c r="J23" s="5">
        <v>597.66</v>
      </c>
      <c r="K23" s="6">
        <v>2081</v>
      </c>
      <c r="L23" s="5">
        <v>3020.2</v>
      </c>
      <c r="M23" s="6">
        <v>0</v>
      </c>
      <c r="N23" s="5">
        <v>0</v>
      </c>
      <c r="O23" s="6">
        <v>0</v>
      </c>
      <c r="P23" s="34">
        <f t="shared" ref="P23:P34" si="2">SUM(D23:O23)</f>
        <v>53265.479999999996</v>
      </c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41.25" customHeight="1" x14ac:dyDescent="0.2">
      <c r="A24" s="9"/>
      <c r="B24" s="9"/>
      <c r="C24" s="28" t="s">
        <v>28</v>
      </c>
      <c r="D24" s="36">
        <v>0</v>
      </c>
      <c r="E24" s="5">
        <v>220</v>
      </c>
      <c r="F24" s="5">
        <v>1590</v>
      </c>
      <c r="G24" s="5">
        <v>1250</v>
      </c>
      <c r="H24" s="5">
        <v>706.5</v>
      </c>
      <c r="I24" s="5">
        <v>773.4</v>
      </c>
      <c r="J24" s="5">
        <v>50</v>
      </c>
      <c r="K24" s="5">
        <v>400</v>
      </c>
      <c r="L24" s="5">
        <v>280</v>
      </c>
      <c r="M24" s="5">
        <v>100</v>
      </c>
      <c r="N24" s="5">
        <v>0</v>
      </c>
      <c r="O24" s="5">
        <v>50</v>
      </c>
      <c r="P24" s="34">
        <f t="shared" si="2"/>
        <v>5419.9</v>
      </c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40.5" customHeight="1" x14ac:dyDescent="0.2">
      <c r="A25" s="9"/>
      <c r="B25" s="9"/>
      <c r="C25" s="28" t="s">
        <v>29</v>
      </c>
      <c r="D25" s="36">
        <f>300+1040+240+740</f>
        <v>2320</v>
      </c>
      <c r="E25" s="5">
        <v>0</v>
      </c>
      <c r="F25" s="5">
        <v>0</v>
      </c>
      <c r="G25" s="5">
        <v>300</v>
      </c>
      <c r="H25" s="6">
        <v>0</v>
      </c>
      <c r="I25" s="6">
        <v>0</v>
      </c>
      <c r="J25" s="5">
        <v>387.6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34">
        <f t="shared" si="2"/>
        <v>3007.6</v>
      </c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41.25" customHeight="1" x14ac:dyDescent="0.2">
      <c r="A26" s="9"/>
      <c r="B26" s="9"/>
      <c r="C26" s="28" t="s">
        <v>30</v>
      </c>
      <c r="D26" s="23">
        <v>140</v>
      </c>
      <c r="E26" s="5">
        <v>0</v>
      </c>
      <c r="F26" s="6">
        <v>0</v>
      </c>
      <c r="G26" s="5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4">
        <f t="shared" si="2"/>
        <v>140</v>
      </c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41.25" customHeight="1" x14ac:dyDescent="0.2">
      <c r="A27" s="9"/>
      <c r="B27" s="9"/>
      <c r="C27" s="30" t="s">
        <v>51</v>
      </c>
      <c r="D27" s="22">
        <v>900</v>
      </c>
      <c r="E27" s="6">
        <v>0</v>
      </c>
      <c r="F27" s="7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4">
        <f t="shared" si="2"/>
        <v>900</v>
      </c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41.25" customHeight="1" x14ac:dyDescent="0.2">
      <c r="A28" s="9"/>
      <c r="B28" s="9"/>
      <c r="C28" s="29" t="s">
        <v>48</v>
      </c>
      <c r="D28" s="23">
        <v>0</v>
      </c>
      <c r="E28" s="6">
        <v>0</v>
      </c>
      <c r="F28" s="5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4">
        <f t="shared" si="2"/>
        <v>0</v>
      </c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41.25" customHeight="1" x14ac:dyDescent="0.2">
      <c r="A29" s="9"/>
      <c r="B29" s="9"/>
      <c r="C29" s="28" t="s">
        <v>31</v>
      </c>
      <c r="D29" s="22">
        <f>3000+5000+135.2</f>
        <v>8135.2</v>
      </c>
      <c r="E29" s="6">
        <v>0</v>
      </c>
      <c r="F29" s="6">
        <v>0</v>
      </c>
      <c r="G29" s="5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4">
        <f t="shared" si="2"/>
        <v>8135.2</v>
      </c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41.25" customHeight="1" x14ac:dyDescent="0.2">
      <c r="A30" s="9"/>
      <c r="B30" s="9"/>
      <c r="C30" s="39" t="s">
        <v>32</v>
      </c>
      <c r="D30" s="22">
        <v>41.9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4">
        <f t="shared" si="2"/>
        <v>41.9</v>
      </c>
      <c r="Q30" s="9"/>
      <c r="R30" s="10"/>
      <c r="S30" s="9"/>
      <c r="T30" s="9"/>
      <c r="U30" s="9"/>
      <c r="V30" s="9"/>
      <c r="W30" s="9"/>
      <c r="X30" s="9"/>
      <c r="Y30" s="9"/>
      <c r="Z30" s="9"/>
    </row>
    <row r="31" spans="1:26" ht="41.25" customHeight="1" x14ac:dyDescent="0.2">
      <c r="A31" s="9"/>
      <c r="B31" s="9"/>
      <c r="C31" s="39" t="s">
        <v>55</v>
      </c>
      <c r="D31" s="22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4">
        <f t="shared" si="2"/>
        <v>0</v>
      </c>
      <c r="Q31" s="9"/>
      <c r="R31" s="10"/>
      <c r="S31" s="9"/>
      <c r="T31" s="9"/>
      <c r="U31" s="9"/>
      <c r="V31" s="9"/>
      <c r="W31" s="9"/>
      <c r="X31" s="9"/>
      <c r="Y31" s="9"/>
      <c r="Z31" s="9"/>
    </row>
    <row r="32" spans="1:26" ht="41.25" customHeight="1" x14ac:dyDescent="0.2">
      <c r="A32" s="9"/>
      <c r="B32" s="9"/>
      <c r="C32" s="39" t="s">
        <v>33</v>
      </c>
      <c r="D32" s="22">
        <v>2.86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4">
        <f t="shared" si="2"/>
        <v>2.86</v>
      </c>
      <c r="Q32" s="9"/>
      <c r="R32" s="10"/>
      <c r="S32" s="9"/>
      <c r="T32" s="9"/>
      <c r="U32" s="9"/>
      <c r="V32" s="9"/>
      <c r="W32" s="9"/>
      <c r="X32" s="9"/>
      <c r="Y32" s="9"/>
      <c r="Z32" s="9"/>
    </row>
    <row r="33" spans="1:26" ht="41.25" customHeight="1" x14ac:dyDescent="0.2">
      <c r="A33" s="9"/>
      <c r="B33" s="9"/>
      <c r="C33" s="30" t="s">
        <v>49</v>
      </c>
      <c r="D33" s="22">
        <v>0</v>
      </c>
      <c r="E33" s="6">
        <v>0</v>
      </c>
      <c r="F33" s="6">
        <v>0</v>
      </c>
      <c r="G33" s="5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4">
        <f t="shared" si="2"/>
        <v>0</v>
      </c>
      <c r="Q33" s="9"/>
      <c r="R33" s="10"/>
      <c r="S33" s="9"/>
      <c r="T33" s="9"/>
      <c r="U33" s="9"/>
      <c r="V33" s="9"/>
      <c r="W33" s="9"/>
      <c r="X33" s="9"/>
      <c r="Y33" s="9"/>
      <c r="Z33" s="9"/>
    </row>
    <row r="34" spans="1:26" ht="41.25" customHeight="1" x14ac:dyDescent="0.2">
      <c r="A34" s="9"/>
      <c r="B34" s="9"/>
      <c r="C34" s="11" t="s">
        <v>34</v>
      </c>
      <c r="D34" s="23">
        <v>0</v>
      </c>
      <c r="E34" s="5">
        <v>0</v>
      </c>
      <c r="F34" s="7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4">
        <f t="shared" si="2"/>
        <v>0</v>
      </c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60.75" customHeight="1" x14ac:dyDescent="0.2">
      <c r="A35" s="12"/>
      <c r="B35" s="12"/>
      <c r="C35" s="31" t="s">
        <v>35</v>
      </c>
      <c r="D35" s="13">
        <f t="shared" ref="D35:P35" si="3">SUM(D23:D34)</f>
        <v>33705.07</v>
      </c>
      <c r="E35" s="13">
        <f t="shared" si="3"/>
        <v>220</v>
      </c>
      <c r="F35" s="13">
        <f t="shared" si="3"/>
        <v>15299.89</v>
      </c>
      <c r="G35" s="13">
        <f t="shared" si="3"/>
        <v>1550</v>
      </c>
      <c r="H35" s="13">
        <f t="shared" si="3"/>
        <v>5641.6</v>
      </c>
      <c r="I35" s="13">
        <f t="shared" si="3"/>
        <v>7529.92</v>
      </c>
      <c r="J35" s="13">
        <f t="shared" si="3"/>
        <v>1035.26</v>
      </c>
      <c r="K35" s="13">
        <f t="shared" si="3"/>
        <v>2481</v>
      </c>
      <c r="L35" s="13">
        <f t="shared" si="3"/>
        <v>3300.2</v>
      </c>
      <c r="M35" s="13">
        <f t="shared" si="3"/>
        <v>100</v>
      </c>
      <c r="N35" s="13">
        <f t="shared" si="3"/>
        <v>0</v>
      </c>
      <c r="O35" s="13">
        <f t="shared" si="3"/>
        <v>50</v>
      </c>
      <c r="P35" s="13">
        <f t="shared" si="3"/>
        <v>70912.939999999988</v>
      </c>
      <c r="Q35" s="12"/>
      <c r="R35" s="14"/>
      <c r="S35" s="12"/>
      <c r="T35" s="12"/>
      <c r="U35" s="12"/>
      <c r="V35" s="12"/>
      <c r="W35" s="12"/>
      <c r="X35" s="12"/>
      <c r="Y35" s="12"/>
      <c r="Z35" s="12"/>
    </row>
    <row r="36" spans="1:26" ht="59.25" customHeight="1" x14ac:dyDescent="0.2">
      <c r="A36" s="1"/>
      <c r="B36" s="1"/>
      <c r="C36" s="38" t="s">
        <v>36</v>
      </c>
      <c r="D36" s="15"/>
      <c r="E36" s="15">
        <f t="shared" ref="E36:P36" si="4">E20-E35</f>
        <v>6306.8700000000008</v>
      </c>
      <c r="F36" s="15">
        <f t="shared" si="4"/>
        <v>1919.7199999999975</v>
      </c>
      <c r="G36" s="15">
        <f t="shared" si="4"/>
        <v>16000</v>
      </c>
      <c r="H36" s="15">
        <f t="shared" si="4"/>
        <v>4030.3300000000017</v>
      </c>
      <c r="I36" s="15">
        <f t="shared" si="4"/>
        <v>0</v>
      </c>
      <c r="J36" s="15">
        <f t="shared" si="4"/>
        <v>1363.28</v>
      </c>
      <c r="K36" s="15">
        <f t="shared" si="4"/>
        <v>3248.4300000000003</v>
      </c>
      <c r="L36" s="15">
        <f t="shared" si="4"/>
        <v>1332.1200000000008</v>
      </c>
      <c r="M36" s="15">
        <f t="shared" si="4"/>
        <v>1113.67</v>
      </c>
      <c r="N36" s="15">
        <f t="shared" si="4"/>
        <v>0</v>
      </c>
      <c r="O36" s="15">
        <f t="shared" si="4"/>
        <v>1439.9999999999998</v>
      </c>
      <c r="P36" s="15">
        <f t="shared" si="4"/>
        <v>4399.8800000000338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4.25" customHeight="1" x14ac:dyDescent="0.2">
      <c r="A37" s="1"/>
      <c r="B37" s="1"/>
      <c r="C37" s="35" t="s">
        <v>52</v>
      </c>
      <c r="D37" s="17"/>
      <c r="E37" s="37">
        <v>6306.87</v>
      </c>
      <c r="F37" s="17">
        <f>863.32+563.44+492.96</f>
        <v>1919.7200000000003</v>
      </c>
      <c r="G37" s="25">
        <f>12000+4000</f>
        <v>16000</v>
      </c>
      <c r="H37" s="24">
        <f>676.31+3354.02</f>
        <v>4030.33</v>
      </c>
      <c r="I37" s="24">
        <v>0</v>
      </c>
      <c r="J37" s="25">
        <f>150.45+215.41+997.42</f>
        <v>1363.28</v>
      </c>
      <c r="K37" s="25">
        <v>3248.43</v>
      </c>
      <c r="L37" s="25">
        <v>1332.12</v>
      </c>
      <c r="M37" s="24">
        <f>709.54+404.13</f>
        <v>1113.67</v>
      </c>
      <c r="N37" s="24">
        <v>0</v>
      </c>
      <c r="O37" s="25">
        <v>1440</v>
      </c>
      <c r="P37" s="17">
        <f>SUM(E37:O37)</f>
        <v>36754.42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0.5" customHeight="1" x14ac:dyDescent="0.45"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26" ht="12.75" customHeight="1" x14ac:dyDescent="0.2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26" ht="12.75" customHeight="1" x14ac:dyDescent="0.2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26" ht="13.5" customHeight="1" thickBot="1" x14ac:dyDescent="0.25"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26" ht="45" customHeight="1" x14ac:dyDescent="0.2">
      <c r="C42" s="62" t="s">
        <v>37</v>
      </c>
      <c r="D42" s="63"/>
      <c r="E42" s="63"/>
      <c r="F42" s="63"/>
      <c r="G42" s="63"/>
      <c r="H42" s="63"/>
      <c r="I42" s="63"/>
      <c r="J42" s="64"/>
      <c r="K42" s="19"/>
      <c r="L42" s="19"/>
      <c r="M42" s="19"/>
    </row>
    <row r="43" spans="1:26" ht="34.5" customHeight="1" x14ac:dyDescent="0.2">
      <c r="C43" s="65" t="s">
        <v>38</v>
      </c>
      <c r="D43" s="52"/>
      <c r="E43" s="66">
        <v>0.03</v>
      </c>
      <c r="F43" s="52"/>
      <c r="G43" s="66">
        <v>0.02</v>
      </c>
      <c r="H43" s="52"/>
      <c r="I43" s="59" t="s">
        <v>4</v>
      </c>
      <c r="J43" s="67"/>
      <c r="K43" s="19"/>
      <c r="L43" s="19"/>
      <c r="M43" s="19"/>
    </row>
    <row r="44" spans="1:26" ht="36" customHeight="1" thickBot="1" x14ac:dyDescent="0.25">
      <c r="C44" s="68" t="s">
        <v>39</v>
      </c>
      <c r="D44" s="69"/>
      <c r="E44" s="70">
        <f>P9*0.03</f>
        <v>1749.4644000000001</v>
      </c>
      <c r="F44" s="69"/>
      <c r="G44" s="70">
        <f>P9*0.02</f>
        <v>1166.3096</v>
      </c>
      <c r="H44" s="69"/>
      <c r="I44" s="71">
        <f>SUM(E44:H44)</f>
        <v>2915.7740000000003</v>
      </c>
      <c r="J44" s="72"/>
      <c r="K44" s="19"/>
      <c r="L44" s="19"/>
      <c r="M44" s="19"/>
    </row>
    <row r="45" spans="1:26" ht="12.75" customHeight="1" x14ac:dyDescent="0.2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26" ht="12.75" customHeight="1" x14ac:dyDescent="0.2"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26" ht="12.75" customHeight="1" x14ac:dyDescent="0.2"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26" ht="12.75" customHeight="1" x14ac:dyDescent="0.2"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3:17" ht="12.75" customHeight="1" x14ac:dyDescent="0.2"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3:17" ht="12.75" customHeight="1" x14ac:dyDescent="0.2"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3:17" ht="12.75" customHeight="1" x14ac:dyDescent="0.2"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3:17" ht="13.5" customHeight="1" thickBot="1" x14ac:dyDescent="0.25"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3:17" ht="59.25" customHeight="1" x14ac:dyDescent="0.2">
      <c r="C53" s="62" t="s">
        <v>40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4"/>
      <c r="O53" s="19"/>
    </row>
    <row r="54" spans="3:17" ht="59.25" customHeight="1" x14ac:dyDescent="0.2">
      <c r="C54" s="79" t="s">
        <v>41</v>
      </c>
      <c r="D54" s="46"/>
      <c r="E54" s="56" t="s">
        <v>42</v>
      </c>
      <c r="F54" s="46"/>
      <c r="G54" s="81" t="s">
        <v>43</v>
      </c>
      <c r="H54" s="51"/>
      <c r="I54" s="51"/>
      <c r="J54" s="51"/>
      <c r="K54" s="51"/>
      <c r="L54" s="52"/>
      <c r="M54" s="56" t="s">
        <v>44</v>
      </c>
      <c r="N54" s="57"/>
      <c r="O54" s="19"/>
    </row>
    <row r="55" spans="3:17" ht="41.25" customHeight="1" x14ac:dyDescent="0.2">
      <c r="C55" s="80"/>
      <c r="D55" s="49"/>
      <c r="E55" s="47"/>
      <c r="F55" s="49"/>
      <c r="G55" s="59" t="s">
        <v>45</v>
      </c>
      <c r="H55" s="52"/>
      <c r="I55" s="59" t="s">
        <v>46</v>
      </c>
      <c r="J55" s="52"/>
      <c r="K55" s="59" t="s">
        <v>36</v>
      </c>
      <c r="L55" s="52"/>
      <c r="M55" s="47"/>
      <c r="N55" s="58"/>
      <c r="O55" s="19"/>
      <c r="P55" s="19"/>
      <c r="Q55" s="19"/>
    </row>
    <row r="56" spans="3:17" ht="41.25" customHeight="1" x14ac:dyDescent="0.2">
      <c r="C56" s="73" t="s">
        <v>47</v>
      </c>
      <c r="D56" s="52"/>
      <c r="E56" s="74">
        <v>1688.65</v>
      </c>
      <c r="F56" s="52"/>
      <c r="G56" s="75">
        <v>18748.32</v>
      </c>
      <c r="H56" s="52"/>
      <c r="I56" s="76">
        <v>-12225.51</v>
      </c>
      <c r="J56" s="52"/>
      <c r="K56" s="89">
        <f t="shared" ref="K56:K57" si="5">G56+I56</f>
        <v>6522.8099999999995</v>
      </c>
      <c r="L56" s="52"/>
      <c r="M56" s="82">
        <v>7671.46</v>
      </c>
      <c r="N56" s="67"/>
      <c r="O56" s="19"/>
      <c r="P56" s="19"/>
      <c r="Q56" s="19"/>
    </row>
    <row r="57" spans="3:17" ht="41.25" customHeight="1" x14ac:dyDescent="0.2">
      <c r="C57" s="73" t="s">
        <v>53</v>
      </c>
      <c r="D57" s="52"/>
      <c r="E57" s="74">
        <v>23403.759999999998</v>
      </c>
      <c r="F57" s="52"/>
      <c r="G57" s="75">
        <v>19358.55</v>
      </c>
      <c r="H57" s="52"/>
      <c r="I57" s="76">
        <v>-20941.48</v>
      </c>
      <c r="J57" s="52"/>
      <c r="K57" s="87">
        <f t="shared" si="5"/>
        <v>-1582.9300000000003</v>
      </c>
      <c r="L57" s="90"/>
      <c r="M57" s="82">
        <f t="shared" ref="M57" si="6">E57+K57</f>
        <v>21820.829999999998</v>
      </c>
      <c r="N57" s="67"/>
      <c r="O57" s="19"/>
      <c r="P57" s="20"/>
      <c r="Q57" s="19"/>
    </row>
    <row r="58" spans="3:17" ht="60.75" customHeight="1" thickBot="1" x14ac:dyDescent="0.25">
      <c r="C58" s="68" t="s">
        <v>4</v>
      </c>
      <c r="D58" s="69"/>
      <c r="E58" s="70">
        <f>SUM(E56:F57)</f>
        <v>25092.41</v>
      </c>
      <c r="F58" s="69"/>
      <c r="G58" s="70">
        <f>SUM(G56:H57)</f>
        <v>38106.869999999995</v>
      </c>
      <c r="H58" s="69"/>
      <c r="I58" s="84">
        <f>SUM(I56:J57)</f>
        <v>-33166.99</v>
      </c>
      <c r="J58" s="69"/>
      <c r="K58" s="71">
        <f>SUM(K56:L57)</f>
        <v>4939.8799999999992</v>
      </c>
      <c r="L58" s="69"/>
      <c r="M58" s="70">
        <f>SUM(M56:N57)</f>
        <v>29492.289999999997</v>
      </c>
      <c r="N58" s="72"/>
      <c r="O58" s="19"/>
      <c r="P58" s="19"/>
      <c r="Q58" s="19"/>
    </row>
    <row r="59" spans="3:17" ht="12.75" customHeight="1" x14ac:dyDescent="0.2"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3:17" ht="12.75" customHeight="1" x14ac:dyDescent="0.2"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3:17" ht="12.75" customHeight="1" x14ac:dyDescent="0.2"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3:17" ht="12.75" customHeight="1" x14ac:dyDescent="0.2"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3:17" ht="12.75" customHeight="1" x14ac:dyDescent="0.2"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3:17" ht="12.75" customHeight="1" x14ac:dyDescent="0.2"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4:15" ht="12.75" customHeight="1" x14ac:dyDescent="0.2"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4:15" ht="12.75" customHeight="1" x14ac:dyDescent="0.2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4:15" ht="12.75" customHeight="1" x14ac:dyDescent="0.2"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4:15" ht="12.75" customHeight="1" x14ac:dyDescent="0.2"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4:15" ht="12.75" customHeight="1" x14ac:dyDescent="0.2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4:15" ht="12.75" customHeight="1" x14ac:dyDescent="0.2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4:15" ht="12.75" customHeight="1" x14ac:dyDescent="0.2"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4:15" ht="12.75" customHeight="1" x14ac:dyDescent="0.2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4:15" ht="12.75" customHeight="1" x14ac:dyDescent="0.2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4:15" ht="12.75" customHeight="1" x14ac:dyDescent="0.2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4:15" ht="12.75" customHeight="1" x14ac:dyDescent="0.2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4:15" ht="12.75" customHeight="1" x14ac:dyDescent="0.2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4:15" ht="12.75" customHeight="1" x14ac:dyDescent="0.2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4:15" ht="12.75" customHeight="1" x14ac:dyDescent="0.2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4:15" ht="12.75" customHeight="1" x14ac:dyDescent="0.2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4:15" ht="12.75" customHeight="1" x14ac:dyDescent="0.2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4:15" ht="12.75" customHeight="1" x14ac:dyDescent="0.2"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4:15" ht="12.75" customHeight="1" x14ac:dyDescent="0.2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4:15" ht="12.75" customHeight="1" x14ac:dyDescent="0.2"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4:15" ht="12.75" customHeight="1" x14ac:dyDescent="0.2"/>
    <row r="85" spans="4:15" ht="12.75" customHeight="1" x14ac:dyDescent="0.2"/>
    <row r="86" spans="4:15" ht="12.75" customHeight="1" x14ac:dyDescent="0.2"/>
    <row r="87" spans="4:15" ht="12.75" customHeight="1" x14ac:dyDescent="0.2"/>
    <row r="88" spans="4:15" ht="12.75" customHeight="1" x14ac:dyDescent="0.2"/>
    <row r="89" spans="4:15" ht="12.75" customHeight="1" x14ac:dyDescent="0.2"/>
    <row r="90" spans="4:15" ht="12.75" customHeight="1" x14ac:dyDescent="0.2"/>
    <row r="91" spans="4:15" ht="12.75" customHeight="1" x14ac:dyDescent="0.2"/>
    <row r="92" spans="4:15" ht="12.75" customHeight="1" x14ac:dyDescent="0.2"/>
    <row r="93" spans="4:15" ht="12.75" customHeight="1" x14ac:dyDescent="0.2"/>
    <row r="94" spans="4:15" ht="12.75" customHeight="1" x14ac:dyDescent="0.2"/>
    <row r="95" spans="4:15" ht="12.75" customHeight="1" x14ac:dyDescent="0.2"/>
    <row r="96" spans="4:15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44">
    <mergeCell ref="M58:N58"/>
    <mergeCell ref="M56:N56"/>
    <mergeCell ref="C57:D57"/>
    <mergeCell ref="E57:F57"/>
    <mergeCell ref="G57:H57"/>
    <mergeCell ref="I57:J57"/>
    <mergeCell ref="K57:L57"/>
    <mergeCell ref="M57:N57"/>
    <mergeCell ref="C58:D58"/>
    <mergeCell ref="E58:F58"/>
    <mergeCell ref="G58:H58"/>
    <mergeCell ref="I58:J58"/>
    <mergeCell ref="K58:L58"/>
    <mergeCell ref="K55:L55"/>
    <mergeCell ref="C56:D56"/>
    <mergeCell ref="E56:F56"/>
    <mergeCell ref="G56:H56"/>
    <mergeCell ref="I56:J56"/>
    <mergeCell ref="K56:L56"/>
    <mergeCell ref="C54:D55"/>
    <mergeCell ref="E54:F55"/>
    <mergeCell ref="G54:L54"/>
    <mergeCell ref="M54:N55"/>
    <mergeCell ref="G55:H55"/>
    <mergeCell ref="C21:C22"/>
    <mergeCell ref="D21:D22"/>
    <mergeCell ref="E21:P21"/>
    <mergeCell ref="C42:J42"/>
    <mergeCell ref="C43:D43"/>
    <mergeCell ref="E43:F43"/>
    <mergeCell ref="G43:H43"/>
    <mergeCell ref="I43:J43"/>
    <mergeCell ref="C44:D44"/>
    <mergeCell ref="E44:F44"/>
    <mergeCell ref="G44:H44"/>
    <mergeCell ref="I44:J44"/>
    <mergeCell ref="C53:N53"/>
    <mergeCell ref="I55:J55"/>
    <mergeCell ref="C3:P4"/>
    <mergeCell ref="D5:P5"/>
    <mergeCell ref="C6:C7"/>
    <mergeCell ref="D6:D7"/>
    <mergeCell ref="E6:O6"/>
    <mergeCell ref="P6:P7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D1EC0-FCF4-46A5-810C-C37AA2FB92AF}">
  <dimension ref="A1:Z1001"/>
  <sheetViews>
    <sheetView showGridLines="0" topLeftCell="E46" zoomScale="50" zoomScaleNormal="50" workbookViewId="0">
      <selection activeCell="R20" sqref="R20"/>
    </sheetView>
  </sheetViews>
  <sheetFormatPr defaultColWidth="14.42578125" defaultRowHeight="15" customHeight="1" x14ac:dyDescent="0.2"/>
  <cols>
    <col min="1" max="2" width="8" customWidth="1"/>
    <col min="3" max="3" width="138.28515625" customWidth="1"/>
    <col min="4" max="16" width="29.7109375" customWidth="1"/>
    <col min="17" max="17" width="8" customWidth="1"/>
    <col min="18" max="18" width="25.85546875" customWidth="1"/>
    <col min="19" max="26" width="8" customWidth="1"/>
  </cols>
  <sheetData>
    <row r="1" spans="1:26" ht="83.25" customHeight="1" x14ac:dyDescent="0.2"/>
    <row r="2" spans="1:26" ht="13.5" customHeight="1" x14ac:dyDescent="0.2"/>
    <row r="3" spans="1:26" ht="37.5" customHeight="1" x14ac:dyDescent="0.2">
      <c r="C3" s="44" t="s">
        <v>0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</row>
    <row r="4" spans="1:26" ht="37.5" customHeight="1" x14ac:dyDescent="0.2"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</row>
    <row r="5" spans="1:26" ht="69.75" customHeight="1" x14ac:dyDescent="0.2">
      <c r="A5" s="1"/>
      <c r="B5" s="1"/>
      <c r="C5" s="26"/>
      <c r="D5" s="86" t="s">
        <v>61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8" customHeight="1" x14ac:dyDescent="0.2">
      <c r="C6" s="53" t="s">
        <v>1</v>
      </c>
      <c r="D6" s="53" t="s">
        <v>2</v>
      </c>
      <c r="E6" s="55" t="s">
        <v>3</v>
      </c>
      <c r="F6" s="51"/>
      <c r="G6" s="51"/>
      <c r="H6" s="51"/>
      <c r="I6" s="51"/>
      <c r="J6" s="51"/>
      <c r="K6" s="51"/>
      <c r="L6" s="51"/>
      <c r="M6" s="51"/>
      <c r="N6" s="51"/>
      <c r="O6" s="52"/>
      <c r="P6" s="53" t="s">
        <v>4</v>
      </c>
    </row>
    <row r="7" spans="1:26" ht="60.75" customHeight="1" x14ac:dyDescent="0.2">
      <c r="A7" s="2"/>
      <c r="B7" s="2"/>
      <c r="C7" s="54"/>
      <c r="D7" s="54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70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4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1.25" customHeight="1" x14ac:dyDescent="0.4">
      <c r="A8" s="4"/>
      <c r="B8" s="4"/>
      <c r="C8" s="28" t="s">
        <v>16</v>
      </c>
      <c r="D8" s="6"/>
      <c r="E8" s="5">
        <v>980</v>
      </c>
      <c r="F8" s="5">
        <v>1690</v>
      </c>
      <c r="G8" s="5">
        <v>1280</v>
      </c>
      <c r="H8" s="5">
        <v>1190</v>
      </c>
      <c r="I8" s="5">
        <v>690</v>
      </c>
      <c r="J8" s="5">
        <v>20</v>
      </c>
      <c r="K8" s="5">
        <v>540</v>
      </c>
      <c r="L8" s="5">
        <v>600</v>
      </c>
      <c r="M8" s="5">
        <v>230</v>
      </c>
      <c r="N8" s="5">
        <v>280</v>
      </c>
      <c r="O8" s="5">
        <v>165</v>
      </c>
      <c r="P8" s="27">
        <f t="shared" ref="P8:P19" si="0">SUM(D8:O8)</f>
        <v>7665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41.25" customHeight="1" x14ac:dyDescent="0.4">
      <c r="A9" s="4"/>
      <c r="B9" s="4"/>
      <c r="C9" s="28" t="s">
        <v>17</v>
      </c>
      <c r="D9" s="6"/>
      <c r="E9" s="5">
        <v>6301.02</v>
      </c>
      <c r="F9" s="5">
        <v>14856.7</v>
      </c>
      <c r="G9" s="5">
        <v>13019.08</v>
      </c>
      <c r="H9" s="5">
        <v>9282.2999999999993</v>
      </c>
      <c r="I9" s="5">
        <v>5804.14</v>
      </c>
      <c r="J9" s="5">
        <v>2045.19</v>
      </c>
      <c r="K9" s="5">
        <v>6501.07</v>
      </c>
      <c r="L9" s="5">
        <v>5543.87</v>
      </c>
      <c r="M9" s="5">
        <v>1419.67</v>
      </c>
      <c r="N9" s="5">
        <v>0</v>
      </c>
      <c r="O9" s="5">
        <v>1822.34</v>
      </c>
      <c r="P9" s="27">
        <f t="shared" si="0"/>
        <v>66595.38</v>
      </c>
      <c r="Q9" s="4" t="s">
        <v>18</v>
      </c>
      <c r="R9" s="4"/>
      <c r="S9" s="4"/>
      <c r="T9" s="4"/>
      <c r="U9" s="4"/>
      <c r="V9" s="4"/>
      <c r="W9" s="4"/>
      <c r="X9" s="4"/>
      <c r="Y9" s="4"/>
      <c r="Z9" s="4"/>
    </row>
    <row r="10" spans="1:26" ht="41.25" customHeight="1" x14ac:dyDescent="0.4">
      <c r="A10" s="4"/>
      <c r="B10" s="4"/>
      <c r="C10" s="28" t="s">
        <v>19</v>
      </c>
      <c r="D10" s="6"/>
      <c r="E10" s="5">
        <v>-2142.6999999999998</v>
      </c>
      <c r="F10" s="5">
        <v>0</v>
      </c>
      <c r="G10" s="5">
        <v>-2410.4899999999998</v>
      </c>
      <c r="H10" s="5">
        <v>255</v>
      </c>
      <c r="I10" s="5">
        <v>-11553.6</v>
      </c>
      <c r="J10" s="5">
        <v>-436.67</v>
      </c>
      <c r="K10" s="5">
        <v>-4</v>
      </c>
      <c r="L10" s="5">
        <v>0</v>
      </c>
      <c r="M10" s="5">
        <v>0</v>
      </c>
      <c r="N10" s="5">
        <v>0</v>
      </c>
      <c r="O10" s="5">
        <v>0</v>
      </c>
      <c r="P10" s="27">
        <f t="shared" si="0"/>
        <v>-16292.460000000001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41.25" customHeight="1" x14ac:dyDescent="0.4">
      <c r="A11" s="4"/>
      <c r="B11" s="4"/>
      <c r="C11" s="28" t="s">
        <v>20</v>
      </c>
      <c r="D11" s="6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27">
        <f t="shared" si="0"/>
        <v>0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41.25" customHeight="1" x14ac:dyDescent="0.4">
      <c r="A12" s="4"/>
      <c r="B12" s="4"/>
      <c r="C12" s="39" t="s">
        <v>65</v>
      </c>
      <c r="D12" s="6">
        <f>0.5+2.44+2.41+6.85+1.02-0.9</f>
        <v>12.319999999999999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27">
        <f t="shared" si="0"/>
        <v>12.319999999999999</v>
      </c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41.25" customHeight="1" x14ac:dyDescent="0.4">
      <c r="A13" s="4"/>
      <c r="B13" s="4"/>
      <c r="C13" s="39" t="s">
        <v>54</v>
      </c>
      <c r="D13" s="5">
        <f>0.23+1.69+1.63+15.23+23.28+3.26+7.01</f>
        <v>52.33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27">
        <f t="shared" si="0"/>
        <v>52.33</v>
      </c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41.25" customHeight="1" x14ac:dyDescent="0.4">
      <c r="A14" s="4"/>
      <c r="B14" s="4"/>
      <c r="C14" s="28" t="s">
        <v>21</v>
      </c>
      <c r="D14" s="6"/>
      <c r="E14" s="5">
        <v>0</v>
      </c>
      <c r="F14" s="7">
        <v>0</v>
      </c>
      <c r="G14" s="6">
        <v>0</v>
      </c>
      <c r="H14" s="6">
        <v>0</v>
      </c>
      <c r="I14" s="6">
        <v>0</v>
      </c>
      <c r="J14" s="7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27">
        <f t="shared" si="0"/>
        <v>0</v>
      </c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41.25" customHeight="1" x14ac:dyDescent="0.4">
      <c r="A15" s="4"/>
      <c r="B15" s="4"/>
      <c r="C15" s="39" t="s">
        <v>22</v>
      </c>
      <c r="D15" s="6"/>
      <c r="E15" s="5">
        <v>0</v>
      </c>
      <c r="F15" s="7">
        <v>0</v>
      </c>
      <c r="G15" s="6">
        <v>0</v>
      </c>
      <c r="H15" s="6">
        <v>0</v>
      </c>
      <c r="I15" s="6">
        <v>0</v>
      </c>
      <c r="J15" s="7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27">
        <f t="shared" si="0"/>
        <v>0</v>
      </c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41.25" customHeight="1" x14ac:dyDescent="0.4">
      <c r="A16" s="4"/>
      <c r="B16" s="4"/>
      <c r="C16" s="39" t="s">
        <v>66</v>
      </c>
      <c r="D16" s="5"/>
      <c r="E16" s="5">
        <v>700</v>
      </c>
      <c r="F16" s="5">
        <v>650</v>
      </c>
      <c r="G16" s="5">
        <v>1700</v>
      </c>
      <c r="H16" s="5">
        <v>410</v>
      </c>
      <c r="I16" s="7">
        <v>380</v>
      </c>
      <c r="J16" s="7">
        <v>280</v>
      </c>
      <c r="K16" s="5">
        <v>1070</v>
      </c>
      <c r="L16" s="5">
        <v>210</v>
      </c>
      <c r="M16" s="5">
        <v>10</v>
      </c>
      <c r="N16" s="5">
        <v>360</v>
      </c>
      <c r="O16" s="7">
        <v>130</v>
      </c>
      <c r="P16" s="27">
        <f t="shared" si="0"/>
        <v>5900</v>
      </c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41.25" customHeight="1" x14ac:dyDescent="0.4">
      <c r="A17" s="4"/>
      <c r="B17" s="4"/>
      <c r="C17" s="28" t="s">
        <v>23</v>
      </c>
      <c r="D17" s="5"/>
      <c r="E17" s="5">
        <v>-115.13</v>
      </c>
      <c r="F17" s="5">
        <f>18.21-855.35-760.45</f>
        <v>-1597.5900000000001</v>
      </c>
      <c r="G17" s="5">
        <f>6711.23-1027.62</f>
        <v>5683.61</v>
      </c>
      <c r="H17" s="5">
        <v>352.73</v>
      </c>
      <c r="I17" s="7">
        <f>5343.72-17</f>
        <v>5326.72</v>
      </c>
      <c r="J17" s="7">
        <v>138.21</v>
      </c>
      <c r="K17" s="5">
        <v>0</v>
      </c>
      <c r="L17" s="5">
        <v>-20.420000000000002</v>
      </c>
      <c r="M17" s="5">
        <v>40</v>
      </c>
      <c r="N17" s="5">
        <v>600</v>
      </c>
      <c r="O17" s="7">
        <v>106.65</v>
      </c>
      <c r="P17" s="27">
        <f t="shared" si="0"/>
        <v>10514.779999999999</v>
      </c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41.25" customHeight="1" x14ac:dyDescent="0.4">
      <c r="A18" s="4"/>
      <c r="B18" s="4"/>
      <c r="C18" s="29" t="s">
        <v>50</v>
      </c>
      <c r="D18" s="6"/>
      <c r="E18" s="5">
        <v>0</v>
      </c>
      <c r="F18" s="5">
        <v>0</v>
      </c>
      <c r="G18" s="5">
        <v>0</v>
      </c>
      <c r="H18" s="6">
        <v>0</v>
      </c>
      <c r="I18" s="7">
        <v>0</v>
      </c>
      <c r="J18" s="7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27">
        <f t="shared" si="0"/>
        <v>0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41.25" customHeight="1" x14ac:dyDescent="0.4">
      <c r="A19" s="4"/>
      <c r="B19" s="4"/>
      <c r="C19" s="30" t="s">
        <v>24</v>
      </c>
      <c r="D19" s="7"/>
      <c r="E19" s="5">
        <v>142.81</v>
      </c>
      <c r="F19" s="5">
        <v>955.46</v>
      </c>
      <c r="G19" s="5">
        <v>562.79999999999995</v>
      </c>
      <c r="H19" s="5">
        <v>0</v>
      </c>
      <c r="I19" s="5">
        <v>145.24</v>
      </c>
      <c r="J19" s="6">
        <v>0</v>
      </c>
      <c r="K19" s="6">
        <v>0</v>
      </c>
      <c r="L19" s="5">
        <v>-3.86</v>
      </c>
      <c r="M19" s="7">
        <v>-20</v>
      </c>
      <c r="N19" s="6">
        <v>-40</v>
      </c>
      <c r="O19" s="7">
        <v>0.01</v>
      </c>
      <c r="P19" s="27">
        <f t="shared" si="0"/>
        <v>1742.46</v>
      </c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59.25" customHeight="1" x14ac:dyDescent="0.2">
      <c r="A20" s="1"/>
      <c r="B20" s="1"/>
      <c r="C20" s="31" t="s">
        <v>25</v>
      </c>
      <c r="D20" s="8">
        <f t="shared" ref="D20:P20" si="1">SUM(D8:D19)</f>
        <v>64.649999999999991</v>
      </c>
      <c r="E20" s="8">
        <f t="shared" si="1"/>
        <v>5866.0000000000009</v>
      </c>
      <c r="F20" s="8">
        <f t="shared" si="1"/>
        <v>16554.57</v>
      </c>
      <c r="G20" s="8">
        <f t="shared" si="1"/>
        <v>19835</v>
      </c>
      <c r="H20" s="8">
        <f t="shared" si="1"/>
        <v>11490.029999999999</v>
      </c>
      <c r="I20" s="8">
        <f t="shared" si="1"/>
        <v>792.50000000000023</v>
      </c>
      <c r="J20" s="8">
        <f t="shared" si="1"/>
        <v>2046.73</v>
      </c>
      <c r="K20" s="8">
        <f t="shared" si="1"/>
        <v>8107.07</v>
      </c>
      <c r="L20" s="8">
        <f t="shared" si="1"/>
        <v>6329.59</v>
      </c>
      <c r="M20" s="8">
        <f t="shared" si="1"/>
        <v>1679.67</v>
      </c>
      <c r="N20" s="8">
        <f t="shared" si="1"/>
        <v>1200</v>
      </c>
      <c r="O20" s="8">
        <f t="shared" si="1"/>
        <v>2224.0000000000005</v>
      </c>
      <c r="P20" s="8">
        <f t="shared" si="1"/>
        <v>76189.810000000012</v>
      </c>
      <c r="Q20" s="1"/>
      <c r="R20" s="32"/>
      <c r="S20" s="1"/>
      <c r="T20" s="1"/>
      <c r="U20" s="1"/>
      <c r="V20" s="1"/>
      <c r="W20" s="1"/>
      <c r="X20" s="1"/>
      <c r="Y20" s="1"/>
      <c r="Z20" s="1"/>
    </row>
    <row r="21" spans="1:26" ht="30" customHeight="1" x14ac:dyDescent="0.2">
      <c r="C21" s="53" t="s">
        <v>26</v>
      </c>
      <c r="D21" s="60" t="s">
        <v>2</v>
      </c>
      <c r="E21" s="6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</row>
    <row r="22" spans="1:26" ht="75.75" customHeight="1" x14ac:dyDescent="0.2">
      <c r="C22" s="54"/>
      <c r="D22" s="54"/>
      <c r="E22" s="21" t="s">
        <v>5</v>
      </c>
      <c r="F22" s="3" t="s">
        <v>6</v>
      </c>
      <c r="G22" s="3" t="s">
        <v>7</v>
      </c>
      <c r="H22" s="3" t="s">
        <v>8</v>
      </c>
      <c r="I22" s="3" t="s">
        <v>9</v>
      </c>
      <c r="J22" s="21" t="s">
        <v>70</v>
      </c>
      <c r="K22" s="3" t="s">
        <v>11</v>
      </c>
      <c r="L22" s="3" t="s">
        <v>12</v>
      </c>
      <c r="M22" s="3" t="s">
        <v>13</v>
      </c>
      <c r="N22" s="3" t="s">
        <v>14</v>
      </c>
      <c r="O22" s="3" t="s">
        <v>15</v>
      </c>
      <c r="P22" s="16" t="s">
        <v>4</v>
      </c>
    </row>
    <row r="23" spans="1:26" ht="41.25" customHeight="1" x14ac:dyDescent="0.2">
      <c r="A23" s="9"/>
      <c r="B23" s="9"/>
      <c r="C23" s="33" t="s">
        <v>27</v>
      </c>
      <c r="D23" s="22">
        <f>(4110.58+577+3195.5+962+278.1+127.5+180+344.5+3835.25+682+443.7+919+919+1209.6+686.4+2116.1)+(643.8+374+200.25+59+250+2019+425.25+1436+817.5+2872.8+1202+638.3+345.2+605.15+549.5+107+635.8+1652.28+2293.41+250.68+985.94+300+174.5+232.4+85)</f>
        <v>39740.99</v>
      </c>
      <c r="E23" s="5">
        <v>5228.74</v>
      </c>
      <c r="F23" s="7">
        <f>4520.51+3136.6-980</f>
        <v>6677.1100000000006</v>
      </c>
      <c r="G23" s="5">
        <v>0</v>
      </c>
      <c r="H23" s="6">
        <v>2527.6</v>
      </c>
      <c r="I23" s="7">
        <v>0</v>
      </c>
      <c r="J23" s="5">
        <v>335.21</v>
      </c>
      <c r="K23" s="6">
        <v>4923.17</v>
      </c>
      <c r="L23" s="5">
        <v>5244.3</v>
      </c>
      <c r="M23" s="6">
        <v>0</v>
      </c>
      <c r="N23" s="5">
        <v>0</v>
      </c>
      <c r="O23" s="6">
        <v>0</v>
      </c>
      <c r="P23" s="34">
        <f t="shared" ref="P23:P34" si="2">SUM(D23:O23)</f>
        <v>64677.119999999995</v>
      </c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41.25" customHeight="1" x14ac:dyDescent="0.2">
      <c r="A24" s="9"/>
      <c r="B24" s="9"/>
      <c r="C24" s="28" t="s">
        <v>28</v>
      </c>
      <c r="D24" s="36">
        <v>0</v>
      </c>
      <c r="E24" s="5">
        <v>637.26</v>
      </c>
      <c r="F24" s="5">
        <v>1155</v>
      </c>
      <c r="G24" s="5">
        <v>1385</v>
      </c>
      <c r="H24" s="5">
        <v>675</v>
      </c>
      <c r="I24" s="5">
        <v>792.5</v>
      </c>
      <c r="J24" s="5">
        <v>100</v>
      </c>
      <c r="K24" s="5">
        <v>280</v>
      </c>
      <c r="L24" s="5">
        <v>280</v>
      </c>
      <c r="M24" s="5">
        <v>150</v>
      </c>
      <c r="N24" s="5">
        <v>0</v>
      </c>
      <c r="O24" s="5">
        <v>50</v>
      </c>
      <c r="P24" s="34">
        <f t="shared" si="2"/>
        <v>5504.76</v>
      </c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40.5" customHeight="1" x14ac:dyDescent="0.2">
      <c r="A25" s="9"/>
      <c r="B25" s="9"/>
      <c r="C25" s="28" t="s">
        <v>29</v>
      </c>
      <c r="D25" s="36">
        <f>1040</f>
        <v>1040</v>
      </c>
      <c r="E25" s="5">
        <v>0</v>
      </c>
      <c r="F25" s="5">
        <f>980</f>
        <v>980</v>
      </c>
      <c r="G25" s="5">
        <v>450</v>
      </c>
      <c r="H25" s="6">
        <v>0</v>
      </c>
      <c r="I25" s="6">
        <v>0</v>
      </c>
      <c r="J25" s="5">
        <v>342.11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34">
        <f t="shared" si="2"/>
        <v>2812.11</v>
      </c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41.25" customHeight="1" x14ac:dyDescent="0.2">
      <c r="A26" s="9"/>
      <c r="B26" s="9"/>
      <c r="C26" s="28" t="s">
        <v>30</v>
      </c>
      <c r="D26" s="23">
        <v>140</v>
      </c>
      <c r="E26" s="5">
        <v>0</v>
      </c>
      <c r="F26" s="6">
        <v>0</v>
      </c>
      <c r="G26" s="5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4">
        <f t="shared" si="2"/>
        <v>140</v>
      </c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41.25" customHeight="1" x14ac:dyDescent="0.2">
      <c r="A27" s="9"/>
      <c r="B27" s="9"/>
      <c r="C27" s="30" t="s">
        <v>51</v>
      </c>
      <c r="D27" s="22">
        <f>900+120</f>
        <v>1020</v>
      </c>
      <c r="E27" s="6">
        <v>0</v>
      </c>
      <c r="F27" s="7">
        <v>900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4">
        <f t="shared" si="2"/>
        <v>1920</v>
      </c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41.25" customHeight="1" x14ac:dyDescent="0.2">
      <c r="A28" s="9"/>
      <c r="B28" s="9"/>
      <c r="C28" s="29" t="s">
        <v>48</v>
      </c>
      <c r="D28" s="23">
        <v>0</v>
      </c>
      <c r="E28" s="6">
        <v>0</v>
      </c>
      <c r="F28" s="5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4">
        <f t="shared" si="2"/>
        <v>0</v>
      </c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41.25" customHeight="1" x14ac:dyDescent="0.2">
      <c r="A29" s="9"/>
      <c r="B29" s="9"/>
      <c r="C29" s="28" t="s">
        <v>31</v>
      </c>
      <c r="D29" s="22">
        <f>3000+3000</f>
        <v>6000</v>
      </c>
      <c r="E29" s="6">
        <v>0</v>
      </c>
      <c r="F29" s="6">
        <v>0</v>
      </c>
      <c r="G29" s="5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4">
        <f t="shared" si="2"/>
        <v>6000</v>
      </c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41.25" customHeight="1" x14ac:dyDescent="0.2">
      <c r="A30" s="9"/>
      <c r="B30" s="9"/>
      <c r="C30" s="39" t="s">
        <v>32</v>
      </c>
      <c r="D30" s="22">
        <v>41.9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4">
        <f t="shared" si="2"/>
        <v>41.9</v>
      </c>
      <c r="Q30" s="9"/>
      <c r="R30" s="10"/>
      <c r="S30" s="9"/>
      <c r="T30" s="9"/>
      <c r="U30" s="9"/>
      <c r="V30" s="9"/>
      <c r="W30" s="9"/>
      <c r="X30" s="9"/>
      <c r="Y30" s="9"/>
      <c r="Z30" s="9"/>
    </row>
    <row r="31" spans="1:26" ht="41.25" customHeight="1" x14ac:dyDescent="0.2">
      <c r="A31" s="9"/>
      <c r="B31" s="9"/>
      <c r="C31" s="39" t="s">
        <v>55</v>
      </c>
      <c r="D31" s="22">
        <f>1.2*6</f>
        <v>7.1999999999999993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4">
        <f t="shared" si="2"/>
        <v>7.1999999999999993</v>
      </c>
      <c r="Q31" s="9"/>
      <c r="R31" s="10"/>
      <c r="S31" s="9"/>
      <c r="T31" s="9"/>
      <c r="U31" s="9"/>
      <c r="V31" s="9"/>
      <c r="W31" s="9"/>
      <c r="X31" s="9"/>
      <c r="Y31" s="9"/>
      <c r="Z31" s="9"/>
    </row>
    <row r="32" spans="1:26" ht="41.25" customHeight="1" x14ac:dyDescent="0.2">
      <c r="A32" s="9"/>
      <c r="B32" s="9"/>
      <c r="C32" s="39" t="s">
        <v>33</v>
      </c>
      <c r="D32" s="22">
        <v>2.86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4">
        <f t="shared" si="2"/>
        <v>2.86</v>
      </c>
      <c r="Q32" s="9"/>
      <c r="R32" s="10"/>
      <c r="S32" s="9"/>
      <c r="T32" s="9"/>
      <c r="U32" s="9"/>
      <c r="V32" s="9"/>
      <c r="W32" s="9"/>
      <c r="X32" s="9"/>
      <c r="Y32" s="9"/>
      <c r="Z32" s="9"/>
    </row>
    <row r="33" spans="1:26" ht="41.25" customHeight="1" x14ac:dyDescent="0.2">
      <c r="A33" s="9"/>
      <c r="B33" s="9"/>
      <c r="C33" s="30" t="s">
        <v>49</v>
      </c>
      <c r="D33" s="22">
        <v>0</v>
      </c>
      <c r="E33" s="6">
        <v>0</v>
      </c>
      <c r="F33" s="6">
        <v>0</v>
      </c>
      <c r="G33" s="5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4">
        <f t="shared" si="2"/>
        <v>0</v>
      </c>
      <c r="Q33" s="9"/>
      <c r="R33" s="10"/>
      <c r="S33" s="9"/>
      <c r="T33" s="9"/>
      <c r="U33" s="9"/>
      <c r="V33" s="9"/>
      <c r="W33" s="9"/>
      <c r="X33" s="9"/>
      <c r="Y33" s="9"/>
      <c r="Z33" s="9"/>
    </row>
    <row r="34" spans="1:26" ht="41.25" customHeight="1" x14ac:dyDescent="0.2">
      <c r="A34" s="9"/>
      <c r="B34" s="9"/>
      <c r="C34" s="11" t="s">
        <v>34</v>
      </c>
      <c r="D34" s="23">
        <v>0</v>
      </c>
      <c r="E34" s="5">
        <v>0</v>
      </c>
      <c r="F34" s="7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4">
        <f t="shared" si="2"/>
        <v>0</v>
      </c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60.75" customHeight="1" x14ac:dyDescent="0.2">
      <c r="A35" s="12"/>
      <c r="B35" s="12"/>
      <c r="C35" s="31" t="s">
        <v>35</v>
      </c>
      <c r="D35" s="13">
        <f t="shared" ref="D35:P35" si="3">SUM(D23:D34)</f>
        <v>47992.95</v>
      </c>
      <c r="E35" s="13">
        <f t="shared" si="3"/>
        <v>5866</v>
      </c>
      <c r="F35" s="13">
        <f t="shared" si="3"/>
        <v>9712.11</v>
      </c>
      <c r="G35" s="13">
        <f t="shared" si="3"/>
        <v>1835</v>
      </c>
      <c r="H35" s="13">
        <f t="shared" si="3"/>
        <v>3202.6</v>
      </c>
      <c r="I35" s="13">
        <f t="shared" si="3"/>
        <v>792.5</v>
      </c>
      <c r="J35" s="13">
        <f t="shared" si="3"/>
        <v>777.31999999999994</v>
      </c>
      <c r="K35" s="13">
        <f t="shared" si="3"/>
        <v>5203.17</v>
      </c>
      <c r="L35" s="13">
        <f t="shared" si="3"/>
        <v>5524.3</v>
      </c>
      <c r="M35" s="13">
        <f t="shared" si="3"/>
        <v>150</v>
      </c>
      <c r="N35" s="13">
        <f t="shared" si="3"/>
        <v>0</v>
      </c>
      <c r="O35" s="13">
        <f t="shared" si="3"/>
        <v>50</v>
      </c>
      <c r="P35" s="13">
        <f t="shared" si="3"/>
        <v>81105.949999999983</v>
      </c>
      <c r="Q35" s="12"/>
      <c r="R35" s="14"/>
      <c r="S35" s="12"/>
      <c r="T35" s="12"/>
      <c r="U35" s="12"/>
      <c r="V35" s="12"/>
      <c r="W35" s="12"/>
      <c r="X35" s="12"/>
      <c r="Y35" s="12"/>
      <c r="Z35" s="12"/>
    </row>
    <row r="36" spans="1:26" ht="59.25" customHeight="1" x14ac:dyDescent="0.2">
      <c r="A36" s="1"/>
      <c r="B36" s="1"/>
      <c r="C36" s="38" t="s">
        <v>36</v>
      </c>
      <c r="D36" s="15"/>
      <c r="E36" s="15">
        <f t="shared" ref="E36:P36" si="4">E20-E35</f>
        <v>0</v>
      </c>
      <c r="F36" s="15">
        <f t="shared" si="4"/>
        <v>6842.4599999999991</v>
      </c>
      <c r="G36" s="15">
        <f t="shared" si="4"/>
        <v>18000</v>
      </c>
      <c r="H36" s="15">
        <f t="shared" si="4"/>
        <v>8287.4299999999985</v>
      </c>
      <c r="I36" s="15">
        <f t="shared" si="4"/>
        <v>0</v>
      </c>
      <c r="J36" s="15">
        <f t="shared" si="4"/>
        <v>1269.4100000000001</v>
      </c>
      <c r="K36" s="15">
        <f t="shared" si="4"/>
        <v>2903.8999999999996</v>
      </c>
      <c r="L36" s="15">
        <f t="shared" si="4"/>
        <v>805.29</v>
      </c>
      <c r="M36" s="15">
        <f t="shared" si="4"/>
        <v>1529.67</v>
      </c>
      <c r="N36" s="15">
        <f t="shared" si="4"/>
        <v>1200</v>
      </c>
      <c r="O36" s="15">
        <f t="shared" si="4"/>
        <v>2174.0000000000005</v>
      </c>
      <c r="P36" s="15">
        <f t="shared" si="4"/>
        <v>-4916.1399999999703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4.25" customHeight="1" x14ac:dyDescent="0.2">
      <c r="A37" s="1"/>
      <c r="B37" s="1"/>
      <c r="C37" s="35" t="s">
        <v>52</v>
      </c>
      <c r="D37" s="17"/>
      <c r="E37" s="17">
        <v>0</v>
      </c>
      <c r="F37" s="17">
        <f>6842.46</f>
        <v>6842.46</v>
      </c>
      <c r="G37" s="25">
        <f>6000+7000+5000</f>
        <v>18000</v>
      </c>
      <c r="H37" s="24">
        <f>4102.34+3324.72+860.37</f>
        <v>8287.43</v>
      </c>
      <c r="I37" s="24">
        <v>0</v>
      </c>
      <c r="J37" s="25">
        <f>138.21+1054.07+77.13</f>
        <v>1269.4099999999999</v>
      </c>
      <c r="K37" s="25">
        <v>2903.9</v>
      </c>
      <c r="L37" s="25">
        <v>805.29</v>
      </c>
      <c r="M37" s="24">
        <v>1529.67</v>
      </c>
      <c r="N37" s="24">
        <f>600+600</f>
        <v>1200</v>
      </c>
      <c r="O37" s="25">
        <v>2174</v>
      </c>
      <c r="P37" s="17">
        <f>SUM(E37:O37)</f>
        <v>43012.160000000003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0.5" customHeight="1" x14ac:dyDescent="0.45"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26" ht="12.75" customHeight="1" x14ac:dyDescent="0.2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26" ht="12.75" customHeight="1" x14ac:dyDescent="0.2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26" ht="13.5" customHeight="1" thickBot="1" x14ac:dyDescent="0.25"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26" ht="45" customHeight="1" x14ac:dyDescent="0.2">
      <c r="C42" s="62" t="s">
        <v>37</v>
      </c>
      <c r="D42" s="63"/>
      <c r="E42" s="63"/>
      <c r="F42" s="63"/>
      <c r="G42" s="63"/>
      <c r="H42" s="63"/>
      <c r="I42" s="63"/>
      <c r="J42" s="64"/>
      <c r="K42" s="19"/>
      <c r="L42" s="19"/>
      <c r="M42" s="19"/>
    </row>
    <row r="43" spans="1:26" ht="34.5" customHeight="1" x14ac:dyDescent="0.2">
      <c r="C43" s="65" t="s">
        <v>38</v>
      </c>
      <c r="D43" s="52"/>
      <c r="E43" s="66">
        <v>0.03</v>
      </c>
      <c r="F43" s="52"/>
      <c r="G43" s="66">
        <v>0.02</v>
      </c>
      <c r="H43" s="52"/>
      <c r="I43" s="59" t="s">
        <v>4</v>
      </c>
      <c r="J43" s="67"/>
      <c r="K43" s="19"/>
      <c r="L43" s="19"/>
      <c r="M43" s="19"/>
    </row>
    <row r="44" spans="1:26" ht="36" customHeight="1" thickBot="1" x14ac:dyDescent="0.25">
      <c r="C44" s="68" t="s">
        <v>39</v>
      </c>
      <c r="D44" s="69"/>
      <c r="E44" s="70">
        <f>P9*0.03</f>
        <v>1997.8614</v>
      </c>
      <c r="F44" s="69"/>
      <c r="G44" s="70">
        <f>P9*0.02</f>
        <v>1331.9076000000002</v>
      </c>
      <c r="H44" s="69"/>
      <c r="I44" s="71">
        <f>SUM(E44:H44)</f>
        <v>3329.7690000000002</v>
      </c>
      <c r="J44" s="72"/>
      <c r="K44" s="19"/>
      <c r="L44" s="19"/>
      <c r="M44" s="19"/>
    </row>
    <row r="45" spans="1:26" ht="12.75" customHeight="1" x14ac:dyDescent="0.2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26" ht="12.75" customHeight="1" x14ac:dyDescent="0.2"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26" ht="12.75" customHeight="1" x14ac:dyDescent="0.2"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26" ht="12.75" customHeight="1" x14ac:dyDescent="0.2"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3:17" ht="12.75" customHeight="1" x14ac:dyDescent="0.2"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3:17" ht="12.75" customHeight="1" x14ac:dyDescent="0.2"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3:17" ht="12.75" customHeight="1" x14ac:dyDescent="0.2"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3:17" ht="13.5" customHeight="1" thickBot="1" x14ac:dyDescent="0.25"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3:17" ht="59.25" customHeight="1" x14ac:dyDescent="0.2">
      <c r="C53" s="62" t="s">
        <v>40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4"/>
      <c r="O53" s="19"/>
    </row>
    <row r="54" spans="3:17" ht="59.25" customHeight="1" x14ac:dyDescent="0.2">
      <c r="C54" s="79" t="s">
        <v>41</v>
      </c>
      <c r="D54" s="46"/>
      <c r="E54" s="56" t="s">
        <v>42</v>
      </c>
      <c r="F54" s="46"/>
      <c r="G54" s="81" t="s">
        <v>43</v>
      </c>
      <c r="H54" s="51"/>
      <c r="I54" s="51"/>
      <c r="J54" s="51"/>
      <c r="K54" s="51"/>
      <c r="L54" s="52"/>
      <c r="M54" s="56" t="s">
        <v>44</v>
      </c>
      <c r="N54" s="57"/>
      <c r="O54" s="19"/>
    </row>
    <row r="55" spans="3:17" ht="41.25" customHeight="1" x14ac:dyDescent="0.2">
      <c r="C55" s="80"/>
      <c r="D55" s="49"/>
      <c r="E55" s="47"/>
      <c r="F55" s="49"/>
      <c r="G55" s="59" t="s">
        <v>45</v>
      </c>
      <c r="H55" s="52"/>
      <c r="I55" s="59" t="s">
        <v>46</v>
      </c>
      <c r="J55" s="52"/>
      <c r="K55" s="59" t="s">
        <v>36</v>
      </c>
      <c r="L55" s="52"/>
      <c r="M55" s="47"/>
      <c r="N55" s="58"/>
      <c r="O55" s="19"/>
      <c r="P55" s="19"/>
      <c r="Q55" s="19"/>
    </row>
    <row r="56" spans="3:17" ht="41.25" customHeight="1" x14ac:dyDescent="0.2">
      <c r="C56" s="73" t="s">
        <v>47</v>
      </c>
      <c r="D56" s="52"/>
      <c r="E56" s="74">
        <v>7671.46</v>
      </c>
      <c r="F56" s="52"/>
      <c r="G56" s="75">
        <v>13395.29</v>
      </c>
      <c r="H56" s="52"/>
      <c r="I56" s="76">
        <v>-20240.419999999998</v>
      </c>
      <c r="J56" s="52"/>
      <c r="K56" s="87">
        <f t="shared" ref="K56:K57" si="5">G56+I56</f>
        <v>-6845.1299999999974</v>
      </c>
      <c r="L56" s="52"/>
      <c r="M56" s="82">
        <f t="shared" ref="M56:M58" si="6">E56+K56</f>
        <v>826.33000000000266</v>
      </c>
      <c r="N56" s="67"/>
      <c r="O56" s="19"/>
      <c r="P56" s="19"/>
      <c r="Q56" s="19"/>
    </row>
    <row r="57" spans="3:17" ht="41.25" customHeight="1" x14ac:dyDescent="0.2">
      <c r="C57" s="73" t="s">
        <v>53</v>
      </c>
      <c r="D57" s="52"/>
      <c r="E57" s="74">
        <v>21820.83</v>
      </c>
      <c r="F57" s="52"/>
      <c r="G57" s="75">
        <v>29802.42</v>
      </c>
      <c r="H57" s="52"/>
      <c r="I57" s="76">
        <v>-27633.43</v>
      </c>
      <c r="J57" s="52"/>
      <c r="K57" s="83">
        <f t="shared" si="5"/>
        <v>2168.989999999998</v>
      </c>
      <c r="L57" s="52"/>
      <c r="M57" s="82">
        <f t="shared" si="6"/>
        <v>23989.82</v>
      </c>
      <c r="N57" s="67"/>
      <c r="O57" s="19"/>
      <c r="P57" s="20"/>
      <c r="Q57" s="19"/>
    </row>
    <row r="58" spans="3:17" ht="60.75" customHeight="1" thickBot="1" x14ac:dyDescent="0.25">
      <c r="C58" s="68" t="s">
        <v>4</v>
      </c>
      <c r="D58" s="69"/>
      <c r="E58" s="70">
        <f>SUM(E56:F57)</f>
        <v>29492.29</v>
      </c>
      <c r="F58" s="69"/>
      <c r="G58" s="70">
        <f>SUM(G56:H57)</f>
        <v>43197.71</v>
      </c>
      <c r="H58" s="69"/>
      <c r="I58" s="84">
        <f>SUM(I56:J57)</f>
        <v>-47873.85</v>
      </c>
      <c r="J58" s="69"/>
      <c r="K58" s="71">
        <f>SUM(K56:L57)</f>
        <v>-4676.1399999999994</v>
      </c>
      <c r="L58" s="69"/>
      <c r="M58" s="70">
        <f t="shared" si="6"/>
        <v>24816.15</v>
      </c>
      <c r="N58" s="72"/>
      <c r="O58" s="19"/>
      <c r="P58" s="19"/>
      <c r="Q58" s="19"/>
    </row>
    <row r="59" spans="3:17" ht="12.75" customHeight="1" x14ac:dyDescent="0.2"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3:17" ht="12.75" customHeight="1" x14ac:dyDescent="0.2"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3:17" ht="12.75" customHeight="1" x14ac:dyDescent="0.2"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3:17" ht="12.75" customHeight="1" x14ac:dyDescent="0.2"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3:17" ht="12.75" customHeight="1" x14ac:dyDescent="0.2"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3:17" ht="12.75" customHeight="1" x14ac:dyDescent="0.2"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4:15" ht="12.75" customHeight="1" x14ac:dyDescent="0.2"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4:15" ht="12.75" customHeight="1" x14ac:dyDescent="0.2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4:15" ht="12.75" customHeight="1" x14ac:dyDescent="0.2"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4:15" ht="12.75" customHeight="1" x14ac:dyDescent="0.2"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4:15" ht="12.75" customHeight="1" x14ac:dyDescent="0.2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4:15" ht="12.75" customHeight="1" x14ac:dyDescent="0.2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4:15" ht="12.75" customHeight="1" x14ac:dyDescent="0.2"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4:15" ht="12.75" customHeight="1" x14ac:dyDescent="0.2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4:15" ht="12.75" customHeight="1" x14ac:dyDescent="0.2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4:15" ht="12.75" customHeight="1" x14ac:dyDescent="0.2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4:15" ht="12.75" customHeight="1" x14ac:dyDescent="0.2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4:15" ht="12.75" customHeight="1" x14ac:dyDescent="0.2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4:15" ht="12.75" customHeight="1" x14ac:dyDescent="0.2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4:15" ht="12.75" customHeight="1" x14ac:dyDescent="0.2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4:15" ht="12.75" customHeight="1" x14ac:dyDescent="0.2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4:15" ht="12.75" customHeight="1" x14ac:dyDescent="0.2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4:15" ht="12.75" customHeight="1" x14ac:dyDescent="0.2"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4:15" ht="12.75" customHeight="1" x14ac:dyDescent="0.2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4:15" ht="12.75" customHeight="1" x14ac:dyDescent="0.2"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4:15" ht="12.75" customHeight="1" x14ac:dyDescent="0.2"/>
    <row r="85" spans="4:15" ht="12.75" customHeight="1" x14ac:dyDescent="0.2"/>
    <row r="86" spans="4:15" ht="12.75" customHeight="1" x14ac:dyDescent="0.2"/>
    <row r="87" spans="4:15" ht="12.75" customHeight="1" x14ac:dyDescent="0.2"/>
    <row r="88" spans="4:15" ht="12.75" customHeight="1" x14ac:dyDescent="0.2"/>
    <row r="89" spans="4:15" ht="12.75" customHeight="1" x14ac:dyDescent="0.2"/>
    <row r="90" spans="4:15" ht="12.75" customHeight="1" x14ac:dyDescent="0.2"/>
    <row r="91" spans="4:15" ht="12.75" customHeight="1" x14ac:dyDescent="0.2"/>
    <row r="92" spans="4:15" ht="12.75" customHeight="1" x14ac:dyDescent="0.2"/>
    <row r="93" spans="4:15" ht="12.75" customHeight="1" x14ac:dyDescent="0.2"/>
    <row r="94" spans="4:15" ht="12.75" customHeight="1" x14ac:dyDescent="0.2"/>
    <row r="95" spans="4:15" ht="12.75" customHeight="1" x14ac:dyDescent="0.2"/>
    <row r="96" spans="4:15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44">
    <mergeCell ref="M58:N58"/>
    <mergeCell ref="M56:N56"/>
    <mergeCell ref="C57:D57"/>
    <mergeCell ref="E57:F57"/>
    <mergeCell ref="G57:H57"/>
    <mergeCell ref="I57:J57"/>
    <mergeCell ref="K57:L57"/>
    <mergeCell ref="M57:N57"/>
    <mergeCell ref="C58:D58"/>
    <mergeCell ref="E58:F58"/>
    <mergeCell ref="G58:H58"/>
    <mergeCell ref="I58:J58"/>
    <mergeCell ref="K58:L58"/>
    <mergeCell ref="K55:L55"/>
    <mergeCell ref="C56:D56"/>
    <mergeCell ref="E56:F56"/>
    <mergeCell ref="G56:H56"/>
    <mergeCell ref="I56:J56"/>
    <mergeCell ref="K56:L56"/>
    <mergeCell ref="C54:D55"/>
    <mergeCell ref="E54:F55"/>
    <mergeCell ref="G54:L54"/>
    <mergeCell ref="M54:N55"/>
    <mergeCell ref="G55:H55"/>
    <mergeCell ref="C21:C22"/>
    <mergeCell ref="D21:D22"/>
    <mergeCell ref="E21:P21"/>
    <mergeCell ref="C42:J42"/>
    <mergeCell ref="C43:D43"/>
    <mergeCell ref="E43:F43"/>
    <mergeCell ref="G43:H43"/>
    <mergeCell ref="I43:J43"/>
    <mergeCell ref="C44:D44"/>
    <mergeCell ref="E44:F44"/>
    <mergeCell ref="G44:H44"/>
    <mergeCell ref="I44:J44"/>
    <mergeCell ref="C53:N53"/>
    <mergeCell ref="I55:J55"/>
    <mergeCell ref="C3:P4"/>
    <mergeCell ref="D5:P5"/>
    <mergeCell ref="C6:C7"/>
    <mergeCell ref="D6:D7"/>
    <mergeCell ref="E6:O6"/>
    <mergeCell ref="P6:P7"/>
  </mergeCells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5E01E-2583-4239-BA21-0EED81DF74F4}">
  <dimension ref="A1:AA1001"/>
  <sheetViews>
    <sheetView showGridLines="0" topLeftCell="I54" zoomScale="50" zoomScaleNormal="50" workbookViewId="0">
      <selection activeCell="S35" sqref="S35"/>
    </sheetView>
  </sheetViews>
  <sheetFormatPr defaultColWidth="14.42578125" defaultRowHeight="15" customHeight="1" x14ac:dyDescent="0.2"/>
  <cols>
    <col min="1" max="2" width="8" customWidth="1"/>
    <col min="3" max="3" width="138.28515625" customWidth="1"/>
    <col min="4" max="17" width="29.7109375" customWidth="1"/>
    <col min="18" max="18" width="8" customWidth="1"/>
    <col min="19" max="19" width="25.85546875" customWidth="1"/>
    <col min="20" max="27" width="8" customWidth="1"/>
  </cols>
  <sheetData>
    <row r="1" spans="1:27" ht="83.25" customHeight="1" x14ac:dyDescent="0.2"/>
    <row r="2" spans="1:27" ht="13.5" customHeight="1" x14ac:dyDescent="0.2"/>
    <row r="3" spans="1:27" ht="37.5" customHeight="1" x14ac:dyDescent="0.2">
      <c r="C3" s="44" t="s">
        <v>0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</row>
    <row r="4" spans="1:27" ht="37.5" customHeight="1" x14ac:dyDescent="0.2"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9"/>
    </row>
    <row r="5" spans="1:27" ht="69.75" customHeight="1" x14ac:dyDescent="0.2">
      <c r="A5" s="1"/>
      <c r="B5" s="1"/>
      <c r="C5" s="26"/>
      <c r="D5" s="86" t="s">
        <v>69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48" customHeight="1" x14ac:dyDescent="0.2">
      <c r="C6" s="53" t="s">
        <v>1</v>
      </c>
      <c r="D6" s="53" t="s">
        <v>2</v>
      </c>
      <c r="E6" s="55" t="s">
        <v>3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2"/>
      <c r="Q6" s="53" t="s">
        <v>4</v>
      </c>
    </row>
    <row r="7" spans="1:27" ht="60.75" customHeight="1" x14ac:dyDescent="0.2">
      <c r="A7" s="2"/>
      <c r="B7" s="2"/>
      <c r="C7" s="54"/>
      <c r="D7" s="54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73</v>
      </c>
      <c r="P7" s="3" t="s">
        <v>15</v>
      </c>
      <c r="Q7" s="54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41.25" customHeight="1" x14ac:dyDescent="0.4">
      <c r="A8" s="4"/>
      <c r="B8" s="4"/>
      <c r="C8" s="28" t="s">
        <v>16</v>
      </c>
      <c r="D8" s="6">
        <v>0</v>
      </c>
      <c r="E8" s="5">
        <v>980</v>
      </c>
      <c r="F8" s="5">
        <v>1670</v>
      </c>
      <c r="G8" s="5">
        <v>1200</v>
      </c>
      <c r="H8" s="5">
        <v>1170</v>
      </c>
      <c r="I8" s="5">
        <v>690</v>
      </c>
      <c r="J8" s="5">
        <v>20</v>
      </c>
      <c r="K8" s="5">
        <v>540</v>
      </c>
      <c r="L8" s="5">
        <v>560</v>
      </c>
      <c r="M8" s="5">
        <v>243</v>
      </c>
      <c r="N8" s="5">
        <v>280</v>
      </c>
      <c r="O8" s="5">
        <v>300</v>
      </c>
      <c r="P8" s="5">
        <v>171.35</v>
      </c>
      <c r="Q8" s="27">
        <f t="shared" ref="Q8:Q19" si="0">SUM(D8:P8)</f>
        <v>7824.35</v>
      </c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41.25" customHeight="1" x14ac:dyDescent="0.4">
      <c r="A9" s="4"/>
      <c r="B9" s="4"/>
      <c r="C9" s="28" t="s">
        <v>17</v>
      </c>
      <c r="D9" s="6">
        <v>0</v>
      </c>
      <c r="E9" s="5">
        <v>4887.6899999999996</v>
      </c>
      <c r="F9" s="5">
        <v>16750.66</v>
      </c>
      <c r="G9" s="5">
        <v>11658.27</v>
      </c>
      <c r="H9" s="5">
        <v>10386.129999999999</v>
      </c>
      <c r="I9" s="5">
        <v>4924.58</v>
      </c>
      <c r="J9" s="5">
        <v>3544.68</v>
      </c>
      <c r="K9" s="5">
        <v>4206.38</v>
      </c>
      <c r="L9" s="5">
        <v>4834.3900000000003</v>
      </c>
      <c r="M9" s="5">
        <v>1688.47</v>
      </c>
      <c r="N9" s="5">
        <v>0</v>
      </c>
      <c r="O9" s="5">
        <v>1205.57</v>
      </c>
      <c r="P9" s="5">
        <v>1713.51</v>
      </c>
      <c r="Q9" s="27">
        <f t="shared" si="0"/>
        <v>65800.329999999987</v>
      </c>
      <c r="R9" s="4" t="s">
        <v>18</v>
      </c>
      <c r="S9" s="4"/>
      <c r="T9" s="4"/>
      <c r="U9" s="4"/>
      <c r="V9" s="4"/>
      <c r="W9" s="4"/>
      <c r="X9" s="4"/>
      <c r="Y9" s="4"/>
      <c r="Z9" s="4"/>
      <c r="AA9" s="4"/>
    </row>
    <row r="10" spans="1:27" ht="41.25" customHeight="1" x14ac:dyDescent="0.4">
      <c r="A10" s="4"/>
      <c r="B10" s="4"/>
      <c r="C10" s="28" t="s">
        <v>19</v>
      </c>
      <c r="D10" s="6">
        <v>0</v>
      </c>
      <c r="E10" s="5">
        <v>-3063.44</v>
      </c>
      <c r="F10" s="5">
        <v>-69.92</v>
      </c>
      <c r="G10" s="5">
        <v>139.35</v>
      </c>
      <c r="H10" s="5">
        <v>-2204.0300000000002</v>
      </c>
      <c r="I10" s="5">
        <v>-5044.96</v>
      </c>
      <c r="J10" s="5">
        <v>0.17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57.05</v>
      </c>
      <c r="Q10" s="27">
        <f t="shared" si="0"/>
        <v>-10185.780000000001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41.25" customHeight="1" x14ac:dyDescent="0.4">
      <c r="A11" s="4"/>
      <c r="B11" s="4"/>
      <c r="C11" s="28" t="s">
        <v>20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27">
        <f t="shared" si="0"/>
        <v>0</v>
      </c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41.25" customHeight="1" x14ac:dyDescent="0.4">
      <c r="A12" s="4"/>
      <c r="B12" s="4"/>
      <c r="C12" s="39" t="s">
        <v>65</v>
      </c>
      <c r="D12" s="6">
        <v>0.15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27">
        <f t="shared" si="0"/>
        <v>0.15</v>
      </c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41.25" customHeight="1" x14ac:dyDescent="0.4">
      <c r="A13" s="4"/>
      <c r="B13" s="4"/>
      <c r="C13" s="39" t="s">
        <v>54</v>
      </c>
      <c r="D13" s="5">
        <f>21.08+5.46</f>
        <v>26.54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27">
        <f t="shared" si="0"/>
        <v>26.54</v>
      </c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41.25" customHeight="1" x14ac:dyDescent="0.4">
      <c r="A14" s="4"/>
      <c r="B14" s="4"/>
      <c r="C14" s="28" t="s">
        <v>21</v>
      </c>
      <c r="D14" s="6">
        <v>0</v>
      </c>
      <c r="E14" s="5">
        <v>0</v>
      </c>
      <c r="F14" s="7">
        <v>0</v>
      </c>
      <c r="G14" s="6">
        <v>0</v>
      </c>
      <c r="H14" s="6">
        <v>0</v>
      </c>
      <c r="I14" s="6">
        <v>0</v>
      </c>
      <c r="J14" s="7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27">
        <f t="shared" si="0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41.25" customHeight="1" x14ac:dyDescent="0.4">
      <c r="A15" s="4"/>
      <c r="B15" s="4"/>
      <c r="C15" s="39" t="s">
        <v>22</v>
      </c>
      <c r="D15" s="6">
        <v>0</v>
      </c>
      <c r="E15" s="5">
        <v>0</v>
      </c>
      <c r="F15" s="7">
        <v>0</v>
      </c>
      <c r="G15" s="6">
        <v>0</v>
      </c>
      <c r="H15" s="6">
        <v>0</v>
      </c>
      <c r="I15" s="6">
        <v>0</v>
      </c>
      <c r="J15" s="7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27">
        <f t="shared" si="0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41.25" customHeight="1" x14ac:dyDescent="0.4">
      <c r="A16" s="4"/>
      <c r="B16" s="4"/>
      <c r="C16" s="39" t="s">
        <v>66</v>
      </c>
      <c r="D16" s="5">
        <v>0</v>
      </c>
      <c r="E16" s="5">
        <v>750</v>
      </c>
      <c r="F16" s="5">
        <v>940</v>
      </c>
      <c r="G16" s="5">
        <v>1765.6</v>
      </c>
      <c r="H16" s="5">
        <v>795</v>
      </c>
      <c r="I16" s="7">
        <v>615</v>
      </c>
      <c r="J16" s="7">
        <v>160</v>
      </c>
      <c r="K16" s="5">
        <v>1130</v>
      </c>
      <c r="L16" s="5">
        <v>555</v>
      </c>
      <c r="M16" s="5">
        <v>10</v>
      </c>
      <c r="N16" s="5">
        <v>270</v>
      </c>
      <c r="O16" s="5">
        <v>0</v>
      </c>
      <c r="P16" s="7">
        <v>230</v>
      </c>
      <c r="Q16" s="27">
        <f t="shared" si="0"/>
        <v>7220.6</v>
      </c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41.25" customHeight="1" x14ac:dyDescent="0.4">
      <c r="A17" s="4"/>
      <c r="B17" s="4"/>
      <c r="C17" s="28" t="s">
        <v>23</v>
      </c>
      <c r="D17" s="5">
        <v>0</v>
      </c>
      <c r="E17" s="5">
        <f>2142.7-142.81</f>
        <v>1999.8899999999999</v>
      </c>
      <c r="F17" s="5">
        <f>777.34-955.46</f>
        <v>-178.12</v>
      </c>
      <c r="G17" s="5">
        <f>2410.49-562.8</f>
        <v>1847.6899999999998</v>
      </c>
      <c r="H17" s="5">
        <f>255-20</f>
        <v>235</v>
      </c>
      <c r="I17" s="7">
        <f>11553.6-145.24-434.8</f>
        <v>10973.560000000001</v>
      </c>
      <c r="J17" s="7">
        <f>436.67-0.34</f>
        <v>436.33000000000004</v>
      </c>
      <c r="K17" s="5">
        <v>0</v>
      </c>
      <c r="L17" s="5">
        <v>3.86</v>
      </c>
      <c r="M17" s="5">
        <v>10</v>
      </c>
      <c r="N17" s="5">
        <v>40</v>
      </c>
      <c r="O17" s="5">
        <v>0</v>
      </c>
      <c r="P17" s="7">
        <v>0</v>
      </c>
      <c r="Q17" s="27">
        <f t="shared" si="0"/>
        <v>15368.210000000001</v>
      </c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41.25" customHeight="1" x14ac:dyDescent="0.4">
      <c r="A18" s="4"/>
      <c r="B18" s="4"/>
      <c r="C18" s="29" t="s">
        <v>50</v>
      </c>
      <c r="D18" s="6">
        <v>0</v>
      </c>
      <c r="E18" s="5">
        <v>0</v>
      </c>
      <c r="F18" s="5">
        <v>0</v>
      </c>
      <c r="G18" s="5">
        <v>-5000</v>
      </c>
      <c r="H18" s="6">
        <v>0</v>
      </c>
      <c r="I18" s="7">
        <v>0</v>
      </c>
      <c r="J18" s="7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27">
        <f t="shared" si="0"/>
        <v>-5000</v>
      </c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41.25" customHeight="1" x14ac:dyDescent="0.4">
      <c r="A19" s="4"/>
      <c r="B19" s="4"/>
      <c r="C19" s="30" t="s">
        <v>24</v>
      </c>
      <c r="D19" s="7">
        <v>0</v>
      </c>
      <c r="E19" s="5">
        <v>-78.44</v>
      </c>
      <c r="F19" s="5">
        <v>440.61</v>
      </c>
      <c r="G19" s="5">
        <v>34.090000000000003</v>
      </c>
      <c r="H19" s="5">
        <v>0</v>
      </c>
      <c r="I19" s="5">
        <v>-81.58</v>
      </c>
      <c r="J19" s="6">
        <v>0</v>
      </c>
      <c r="K19" s="6">
        <v>0</v>
      </c>
      <c r="L19" s="5">
        <v>-484.96</v>
      </c>
      <c r="M19" s="7">
        <v>-35</v>
      </c>
      <c r="N19" s="6">
        <v>-590</v>
      </c>
      <c r="O19" s="6">
        <v>0</v>
      </c>
      <c r="P19" s="7">
        <v>-0.05</v>
      </c>
      <c r="Q19" s="27">
        <f t="shared" si="0"/>
        <v>-795.32999999999993</v>
      </c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59.25" customHeight="1" x14ac:dyDescent="0.2">
      <c r="A20" s="1"/>
      <c r="B20" s="1"/>
      <c r="C20" s="31" t="s">
        <v>25</v>
      </c>
      <c r="D20" s="8">
        <f t="shared" ref="D20:Q20" si="1">SUM(D8:D19)</f>
        <v>26.689999999999998</v>
      </c>
      <c r="E20" s="8">
        <f t="shared" si="1"/>
        <v>5475.7</v>
      </c>
      <c r="F20" s="8">
        <f t="shared" si="1"/>
        <v>19553.230000000003</v>
      </c>
      <c r="G20" s="8">
        <f t="shared" si="1"/>
        <v>11645</v>
      </c>
      <c r="H20" s="8">
        <f t="shared" si="1"/>
        <v>10382.099999999999</v>
      </c>
      <c r="I20" s="8">
        <f t="shared" si="1"/>
        <v>12076.6</v>
      </c>
      <c r="J20" s="8">
        <f t="shared" si="1"/>
        <v>4161.18</v>
      </c>
      <c r="K20" s="8">
        <f t="shared" si="1"/>
        <v>5876.38</v>
      </c>
      <c r="L20" s="8">
        <f t="shared" si="1"/>
        <v>5468.29</v>
      </c>
      <c r="M20" s="8">
        <f t="shared" si="1"/>
        <v>1916.47</v>
      </c>
      <c r="N20" s="8">
        <f t="shared" si="1"/>
        <v>0</v>
      </c>
      <c r="O20" s="8">
        <f t="shared" si="1"/>
        <v>1505.57</v>
      </c>
      <c r="P20" s="8">
        <f t="shared" si="1"/>
        <v>2171.8599999999997</v>
      </c>
      <c r="Q20" s="8">
        <f t="shared" si="1"/>
        <v>80259.070000000007</v>
      </c>
      <c r="R20" s="1"/>
      <c r="S20" s="32"/>
      <c r="T20" s="1"/>
      <c r="U20" s="1"/>
      <c r="V20" s="1"/>
      <c r="W20" s="1"/>
      <c r="X20" s="1"/>
      <c r="Y20" s="1"/>
      <c r="Z20" s="1"/>
      <c r="AA20" s="1"/>
    </row>
    <row r="21" spans="1:27" ht="30" customHeight="1" x14ac:dyDescent="0.2">
      <c r="C21" s="53" t="s">
        <v>26</v>
      </c>
      <c r="D21" s="60" t="s">
        <v>2</v>
      </c>
      <c r="E21" s="6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2"/>
    </row>
    <row r="22" spans="1:27" ht="75.75" customHeight="1" x14ac:dyDescent="0.2">
      <c r="C22" s="54"/>
      <c r="D22" s="54"/>
      <c r="E22" s="21" t="s">
        <v>5</v>
      </c>
      <c r="F22" s="3" t="s">
        <v>6</v>
      </c>
      <c r="G22" s="3" t="s">
        <v>7</v>
      </c>
      <c r="H22" s="3" t="s">
        <v>8</v>
      </c>
      <c r="I22" s="3" t="s">
        <v>9</v>
      </c>
      <c r="J22" s="21" t="s">
        <v>10</v>
      </c>
      <c r="K22" s="3" t="s">
        <v>11</v>
      </c>
      <c r="L22" s="3" t="s">
        <v>12</v>
      </c>
      <c r="M22" s="3" t="s">
        <v>13</v>
      </c>
      <c r="N22" s="3" t="s">
        <v>14</v>
      </c>
      <c r="O22" s="3" t="s">
        <v>73</v>
      </c>
      <c r="P22" s="3" t="s">
        <v>15</v>
      </c>
      <c r="Q22" s="16" t="s">
        <v>4</v>
      </c>
    </row>
    <row r="23" spans="1:27" ht="41.25" customHeight="1" x14ac:dyDescent="0.2">
      <c r="A23" s="9"/>
      <c r="B23" s="9"/>
      <c r="C23" s="33" t="s">
        <v>27</v>
      </c>
      <c r="D23" s="22">
        <f>(319.5+454+4030+409.5+127.5+2120+619.5+2310+351+1789+826+523.5+2298.89+665+623+64.5+350+243.9+429.75+80.5+546)+(690+748+663.1+873+710.4+649.33+49.5+826+25+420.55+658+311+534.85+87.5+292+309+1756.5+661.92+59+1220.5+675.45+138+160.88+230+341+438.5+92+1002.7+801.84+504.41+1286.2+15)</f>
        <v>36412.17</v>
      </c>
      <c r="E23" s="5">
        <v>3113</v>
      </c>
      <c r="F23" s="7">
        <f>7080.25+4673.35</f>
        <v>11753.6</v>
      </c>
      <c r="G23" s="5">
        <v>0</v>
      </c>
      <c r="H23" s="6">
        <v>4851.6499999999996</v>
      </c>
      <c r="I23" s="7">
        <v>6758.4</v>
      </c>
      <c r="J23" s="5">
        <v>1065.54</v>
      </c>
      <c r="K23" s="6">
        <v>5241.4799999999996</v>
      </c>
      <c r="L23" s="5">
        <v>1750.5</v>
      </c>
      <c r="M23" s="6">
        <v>0</v>
      </c>
      <c r="N23" s="5">
        <v>0</v>
      </c>
      <c r="O23" s="5">
        <v>1187.45</v>
      </c>
      <c r="P23" s="6">
        <v>0</v>
      </c>
      <c r="Q23" s="34">
        <f t="shared" ref="Q23:Q34" si="2">SUM(D23:P23)</f>
        <v>72133.789999999994</v>
      </c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41.25" customHeight="1" x14ac:dyDescent="0.2">
      <c r="A24" s="9"/>
      <c r="B24" s="9"/>
      <c r="C24" s="28" t="s">
        <v>28</v>
      </c>
      <c r="D24" s="36">
        <v>0</v>
      </c>
      <c r="E24" s="5">
        <v>220</v>
      </c>
      <c r="F24" s="5">
        <v>1225</v>
      </c>
      <c r="G24" s="5">
        <v>915</v>
      </c>
      <c r="H24" s="5">
        <v>566.5</v>
      </c>
      <c r="I24" s="5">
        <v>778.2</v>
      </c>
      <c r="J24" s="5">
        <v>50</v>
      </c>
      <c r="K24" s="5">
        <v>280</v>
      </c>
      <c r="L24" s="5">
        <v>280</v>
      </c>
      <c r="M24" s="5">
        <v>100</v>
      </c>
      <c r="N24" s="5">
        <v>0</v>
      </c>
      <c r="O24" s="5">
        <v>300</v>
      </c>
      <c r="P24" s="5">
        <v>57</v>
      </c>
      <c r="Q24" s="34">
        <f t="shared" si="2"/>
        <v>4771.7</v>
      </c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40.5" customHeight="1" x14ac:dyDescent="0.2">
      <c r="A25" s="9"/>
      <c r="B25" s="9"/>
      <c r="C25" s="28" t="s">
        <v>29</v>
      </c>
      <c r="D25" s="36">
        <f>1040+240</f>
        <v>1280</v>
      </c>
      <c r="E25" s="5">
        <v>0</v>
      </c>
      <c r="F25" s="5">
        <v>80</v>
      </c>
      <c r="G25" s="5">
        <v>730</v>
      </c>
      <c r="H25" s="6">
        <v>0</v>
      </c>
      <c r="I25" s="6">
        <v>0</v>
      </c>
      <c r="J25" s="5">
        <v>166.72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34">
        <f t="shared" si="2"/>
        <v>2256.7199999999998</v>
      </c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41.25" customHeight="1" x14ac:dyDescent="0.2">
      <c r="A26" s="9"/>
      <c r="B26" s="9"/>
      <c r="C26" s="28" t="s">
        <v>30</v>
      </c>
      <c r="D26" s="23">
        <v>140</v>
      </c>
      <c r="E26" s="5">
        <v>0</v>
      </c>
      <c r="F26" s="6">
        <v>0</v>
      </c>
      <c r="G26" s="5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34">
        <f t="shared" si="2"/>
        <v>140</v>
      </c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41.25" customHeight="1" x14ac:dyDescent="0.2">
      <c r="A27" s="9"/>
      <c r="B27" s="9"/>
      <c r="C27" s="30" t="s">
        <v>51</v>
      </c>
      <c r="D27" s="22">
        <v>0</v>
      </c>
      <c r="E27" s="6">
        <v>0</v>
      </c>
      <c r="F27" s="7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34">
        <f t="shared" si="2"/>
        <v>0</v>
      </c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41.25" customHeight="1" x14ac:dyDescent="0.2">
      <c r="A28" s="9"/>
      <c r="B28" s="9"/>
      <c r="C28" s="29" t="s">
        <v>48</v>
      </c>
      <c r="D28" s="23">
        <v>0</v>
      </c>
      <c r="E28" s="6">
        <v>0</v>
      </c>
      <c r="F28" s="5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34">
        <f t="shared" si="2"/>
        <v>0</v>
      </c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41.25" customHeight="1" x14ac:dyDescent="0.2">
      <c r="A29" s="9"/>
      <c r="B29" s="9"/>
      <c r="C29" s="28" t="s">
        <v>31</v>
      </c>
      <c r="D29" s="22">
        <f>4000+250+750+200</f>
        <v>5200</v>
      </c>
      <c r="E29" s="6">
        <v>0</v>
      </c>
      <c r="F29" s="6">
        <v>0</v>
      </c>
      <c r="G29" s="5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34">
        <f t="shared" si="2"/>
        <v>5200</v>
      </c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41.25" customHeight="1" x14ac:dyDescent="0.2">
      <c r="A30" s="9"/>
      <c r="B30" s="9"/>
      <c r="C30" s="39" t="s">
        <v>32</v>
      </c>
      <c r="D30" s="22">
        <v>41.9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34">
        <f t="shared" si="2"/>
        <v>41.9</v>
      </c>
      <c r="R30" s="9"/>
      <c r="S30" s="10"/>
      <c r="T30" s="9"/>
      <c r="U30" s="9"/>
      <c r="V30" s="9"/>
      <c r="W30" s="9"/>
      <c r="X30" s="9"/>
      <c r="Y30" s="9"/>
      <c r="Z30" s="9"/>
      <c r="AA30" s="9"/>
    </row>
    <row r="31" spans="1:27" ht="41.25" customHeight="1" x14ac:dyDescent="0.2">
      <c r="A31" s="9"/>
      <c r="B31" s="9"/>
      <c r="C31" s="39" t="s">
        <v>55</v>
      </c>
      <c r="D31" s="22">
        <f>1.2*4</f>
        <v>4.8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34">
        <f t="shared" si="2"/>
        <v>4.8</v>
      </c>
      <c r="R31" s="9"/>
      <c r="S31" s="10"/>
      <c r="T31" s="9"/>
      <c r="U31" s="9"/>
      <c r="V31" s="9"/>
      <c r="W31" s="9"/>
      <c r="X31" s="9"/>
      <c r="Y31" s="9"/>
      <c r="Z31" s="9"/>
      <c r="AA31" s="9"/>
    </row>
    <row r="32" spans="1:27" ht="41.25" customHeight="1" x14ac:dyDescent="0.2">
      <c r="A32" s="9"/>
      <c r="B32" s="9"/>
      <c r="C32" s="39" t="s">
        <v>33</v>
      </c>
      <c r="D32" s="22">
        <v>2.86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34">
        <f t="shared" si="2"/>
        <v>2.86</v>
      </c>
      <c r="R32" s="9"/>
      <c r="S32" s="10"/>
      <c r="T32" s="9"/>
      <c r="U32" s="9"/>
      <c r="V32" s="9"/>
      <c r="W32" s="9"/>
      <c r="X32" s="9"/>
      <c r="Y32" s="9"/>
      <c r="Z32" s="9"/>
      <c r="AA32" s="9"/>
    </row>
    <row r="33" spans="1:27" ht="41.25" customHeight="1" x14ac:dyDescent="0.2">
      <c r="A33" s="9"/>
      <c r="B33" s="9"/>
      <c r="C33" s="30" t="s">
        <v>49</v>
      </c>
      <c r="D33" s="22">
        <v>0</v>
      </c>
      <c r="E33" s="6">
        <v>0</v>
      </c>
      <c r="F33" s="6">
        <v>0</v>
      </c>
      <c r="G33" s="5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34">
        <f t="shared" si="2"/>
        <v>0</v>
      </c>
      <c r="R33" s="9"/>
      <c r="S33" s="10"/>
      <c r="T33" s="9"/>
      <c r="U33" s="9"/>
      <c r="V33" s="9"/>
      <c r="W33" s="9"/>
      <c r="X33" s="9"/>
      <c r="Y33" s="9"/>
      <c r="Z33" s="9"/>
      <c r="AA33" s="9"/>
    </row>
    <row r="34" spans="1:27" ht="41.25" customHeight="1" x14ac:dyDescent="0.2">
      <c r="A34" s="9"/>
      <c r="B34" s="9"/>
      <c r="C34" s="11" t="s">
        <v>34</v>
      </c>
      <c r="D34" s="23">
        <v>0</v>
      </c>
      <c r="E34" s="5">
        <v>0</v>
      </c>
      <c r="F34" s="7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34">
        <f t="shared" si="2"/>
        <v>0</v>
      </c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60.75" customHeight="1" x14ac:dyDescent="0.2">
      <c r="A35" s="12"/>
      <c r="B35" s="12"/>
      <c r="C35" s="31" t="s">
        <v>35</v>
      </c>
      <c r="D35" s="13">
        <f t="shared" ref="D35:Q35" si="3">SUM(D23:D34)</f>
        <v>43081.73</v>
      </c>
      <c r="E35" s="13">
        <f t="shared" si="3"/>
        <v>3333</v>
      </c>
      <c r="F35" s="13">
        <f t="shared" si="3"/>
        <v>13058.6</v>
      </c>
      <c r="G35" s="13">
        <f t="shared" si="3"/>
        <v>1645</v>
      </c>
      <c r="H35" s="13">
        <f t="shared" si="3"/>
        <v>5418.15</v>
      </c>
      <c r="I35" s="13">
        <f t="shared" si="3"/>
        <v>7536.5999999999995</v>
      </c>
      <c r="J35" s="13">
        <f t="shared" si="3"/>
        <v>1282.26</v>
      </c>
      <c r="K35" s="13">
        <f t="shared" si="3"/>
        <v>5521.48</v>
      </c>
      <c r="L35" s="13">
        <f t="shared" si="3"/>
        <v>2030.5</v>
      </c>
      <c r="M35" s="13">
        <f t="shared" si="3"/>
        <v>100</v>
      </c>
      <c r="N35" s="13">
        <f t="shared" si="3"/>
        <v>0</v>
      </c>
      <c r="O35" s="13">
        <f t="shared" si="3"/>
        <v>1487.45</v>
      </c>
      <c r="P35" s="13">
        <f t="shared" si="3"/>
        <v>57</v>
      </c>
      <c r="Q35" s="13">
        <f t="shared" si="3"/>
        <v>84551.76999999999</v>
      </c>
      <c r="R35" s="12"/>
      <c r="S35" s="14"/>
      <c r="T35" s="12"/>
      <c r="U35" s="12"/>
      <c r="V35" s="12"/>
      <c r="W35" s="12"/>
      <c r="X35" s="12"/>
      <c r="Y35" s="12"/>
      <c r="Z35" s="12"/>
      <c r="AA35" s="12"/>
    </row>
    <row r="36" spans="1:27" ht="59.25" customHeight="1" x14ac:dyDescent="0.2">
      <c r="A36" s="1"/>
      <c r="B36" s="1"/>
      <c r="C36" s="38" t="s">
        <v>36</v>
      </c>
      <c r="D36" s="15"/>
      <c r="E36" s="15">
        <f t="shared" ref="E36:Q36" si="4">E20-E35</f>
        <v>2142.6999999999998</v>
      </c>
      <c r="F36" s="15">
        <f t="shared" si="4"/>
        <v>6494.6300000000028</v>
      </c>
      <c r="G36" s="15">
        <f t="shared" si="4"/>
        <v>10000</v>
      </c>
      <c r="H36" s="15">
        <f t="shared" si="4"/>
        <v>4963.9499999999989</v>
      </c>
      <c r="I36" s="15">
        <f t="shared" si="4"/>
        <v>4540.0000000000009</v>
      </c>
      <c r="J36" s="15">
        <f t="shared" si="4"/>
        <v>2878.92</v>
      </c>
      <c r="K36" s="15">
        <f t="shared" si="4"/>
        <v>354.90000000000055</v>
      </c>
      <c r="L36" s="15">
        <f t="shared" si="4"/>
        <v>3437.79</v>
      </c>
      <c r="M36" s="15">
        <f t="shared" si="4"/>
        <v>1816.47</v>
      </c>
      <c r="N36" s="15">
        <f t="shared" si="4"/>
        <v>0</v>
      </c>
      <c r="O36" s="15">
        <f t="shared" si="4"/>
        <v>18.119999999999891</v>
      </c>
      <c r="P36" s="15">
        <f t="shared" si="4"/>
        <v>2114.8599999999997</v>
      </c>
      <c r="Q36" s="15">
        <f t="shared" si="4"/>
        <v>-4292.6999999999825</v>
      </c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44.25" customHeight="1" x14ac:dyDescent="0.2">
      <c r="A37" s="1"/>
      <c r="B37" s="1"/>
      <c r="C37" s="35" t="s">
        <v>52</v>
      </c>
      <c r="D37" s="17"/>
      <c r="E37" s="17">
        <v>2142.6999999999998</v>
      </c>
      <c r="F37" s="17">
        <f>5032.62+777.34+257.93+340.23+88.51</f>
        <v>6496.630000000001</v>
      </c>
      <c r="G37" s="25">
        <f>5000+5000</f>
        <v>10000</v>
      </c>
      <c r="H37" s="24">
        <f>4594.01+369.94</f>
        <v>4963.95</v>
      </c>
      <c r="I37" s="24">
        <v>4540</v>
      </c>
      <c r="J37" s="25">
        <f>528.47+1500+850.45</f>
        <v>2878.92</v>
      </c>
      <c r="K37" s="25">
        <v>354.9</v>
      </c>
      <c r="L37" s="25">
        <v>3437.79</v>
      </c>
      <c r="M37" s="24">
        <f>1529.58+286.8</f>
        <v>1816.3799999999999</v>
      </c>
      <c r="N37" s="24">
        <v>0</v>
      </c>
      <c r="O37" s="24">
        <v>18.12</v>
      </c>
      <c r="P37" s="25">
        <v>2114.86</v>
      </c>
      <c r="Q37" s="17">
        <f>SUM(E37:P37)</f>
        <v>38764.250000000007</v>
      </c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40.5" customHeight="1" x14ac:dyDescent="0.45"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27" ht="12.75" customHeight="1" x14ac:dyDescent="0.2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27" ht="12.75" customHeight="1" x14ac:dyDescent="0.2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27" ht="13.5" customHeight="1" thickBot="1" x14ac:dyDescent="0.25"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27" ht="45" customHeight="1" x14ac:dyDescent="0.2">
      <c r="C42" s="62" t="s">
        <v>37</v>
      </c>
      <c r="D42" s="63"/>
      <c r="E42" s="63"/>
      <c r="F42" s="63"/>
      <c r="G42" s="63"/>
      <c r="H42" s="63"/>
      <c r="I42" s="63"/>
      <c r="J42" s="64"/>
      <c r="K42" s="19"/>
      <c r="L42" s="19"/>
      <c r="M42" s="19"/>
    </row>
    <row r="43" spans="1:27" ht="34.5" customHeight="1" x14ac:dyDescent="0.2">
      <c r="C43" s="65" t="s">
        <v>38</v>
      </c>
      <c r="D43" s="52"/>
      <c r="E43" s="66">
        <v>0.03</v>
      </c>
      <c r="F43" s="52"/>
      <c r="G43" s="66">
        <v>0.02</v>
      </c>
      <c r="H43" s="52"/>
      <c r="I43" s="59" t="s">
        <v>4</v>
      </c>
      <c r="J43" s="67"/>
      <c r="K43" s="19"/>
      <c r="L43" s="19"/>
      <c r="M43" s="19"/>
    </row>
    <row r="44" spans="1:27" ht="36" customHeight="1" thickBot="1" x14ac:dyDescent="0.25">
      <c r="C44" s="68" t="s">
        <v>39</v>
      </c>
      <c r="D44" s="69"/>
      <c r="E44" s="70">
        <f>Q9*0.03</f>
        <v>1974.0098999999996</v>
      </c>
      <c r="F44" s="69"/>
      <c r="G44" s="70">
        <f>Q9*0.02</f>
        <v>1316.0065999999997</v>
      </c>
      <c r="H44" s="69"/>
      <c r="I44" s="71">
        <f>SUM(E44:H44)</f>
        <v>3290.0164999999993</v>
      </c>
      <c r="J44" s="72"/>
      <c r="K44" s="19"/>
      <c r="L44" s="19"/>
      <c r="M44" s="19"/>
    </row>
    <row r="45" spans="1:27" ht="12.75" customHeight="1" x14ac:dyDescent="0.2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27" ht="12.75" customHeight="1" x14ac:dyDescent="0.2"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27" ht="12.75" customHeight="1" x14ac:dyDescent="0.2"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27" ht="12.75" customHeight="1" x14ac:dyDescent="0.2"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3:18" ht="12.75" customHeight="1" x14ac:dyDescent="0.2"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3:18" ht="12.75" customHeight="1" x14ac:dyDescent="0.2"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3:18" ht="12.75" customHeight="1" x14ac:dyDescent="0.2"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3:18" ht="13.5" customHeight="1" thickBot="1" x14ac:dyDescent="0.25"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3:18" ht="59.25" customHeight="1" x14ac:dyDescent="0.2">
      <c r="C53" s="62" t="s">
        <v>40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4"/>
      <c r="O53" s="43"/>
      <c r="P53" s="19"/>
    </row>
    <row r="54" spans="3:18" ht="59.25" customHeight="1" x14ac:dyDescent="0.2">
      <c r="C54" s="79" t="s">
        <v>41</v>
      </c>
      <c r="D54" s="46"/>
      <c r="E54" s="56" t="s">
        <v>42</v>
      </c>
      <c r="F54" s="46"/>
      <c r="G54" s="81" t="s">
        <v>43</v>
      </c>
      <c r="H54" s="51"/>
      <c r="I54" s="51"/>
      <c r="J54" s="51"/>
      <c r="K54" s="51"/>
      <c r="L54" s="52"/>
      <c r="M54" s="56" t="s">
        <v>44</v>
      </c>
      <c r="N54" s="57"/>
      <c r="O54" s="43"/>
      <c r="P54" s="19"/>
    </row>
    <row r="55" spans="3:18" ht="41.25" customHeight="1" x14ac:dyDescent="0.2">
      <c r="C55" s="80"/>
      <c r="D55" s="49"/>
      <c r="E55" s="47"/>
      <c r="F55" s="49"/>
      <c r="G55" s="59" t="s">
        <v>45</v>
      </c>
      <c r="H55" s="52"/>
      <c r="I55" s="59" t="s">
        <v>46</v>
      </c>
      <c r="J55" s="52"/>
      <c r="K55" s="59" t="s">
        <v>36</v>
      </c>
      <c r="L55" s="52"/>
      <c r="M55" s="47"/>
      <c r="N55" s="58"/>
      <c r="O55" s="43"/>
      <c r="P55" s="19"/>
      <c r="Q55" s="19"/>
      <c r="R55" s="19"/>
    </row>
    <row r="56" spans="3:18" ht="41.25" customHeight="1" x14ac:dyDescent="0.2">
      <c r="C56" s="73" t="s">
        <v>47</v>
      </c>
      <c r="D56" s="52"/>
      <c r="E56" s="74">
        <v>826.33</v>
      </c>
      <c r="F56" s="52"/>
      <c r="G56" s="75">
        <v>20293.990000000002</v>
      </c>
      <c r="H56" s="52"/>
      <c r="I56" s="76">
        <v>-18715.89</v>
      </c>
      <c r="J56" s="52"/>
      <c r="K56" s="87">
        <f t="shared" ref="K56:K57" si="5">G56+I56</f>
        <v>1578.1000000000022</v>
      </c>
      <c r="L56" s="52"/>
      <c r="M56" s="82">
        <f t="shared" ref="M56" si="6">E56+K56</f>
        <v>2404.4300000000021</v>
      </c>
      <c r="N56" s="67"/>
      <c r="O56" s="43"/>
      <c r="P56" s="19"/>
      <c r="Q56" s="19"/>
      <c r="R56" s="19"/>
    </row>
    <row r="57" spans="3:18" ht="41.25" customHeight="1" x14ac:dyDescent="0.2">
      <c r="C57" s="73" t="s">
        <v>53</v>
      </c>
      <c r="D57" s="52"/>
      <c r="E57" s="74">
        <v>23989.82</v>
      </c>
      <c r="F57" s="52"/>
      <c r="G57" s="75">
        <v>18494.95</v>
      </c>
      <c r="H57" s="52"/>
      <c r="I57" s="76">
        <v>-24365.84</v>
      </c>
      <c r="J57" s="52"/>
      <c r="K57" s="83">
        <f t="shared" si="5"/>
        <v>-5870.8899999999994</v>
      </c>
      <c r="L57" s="52"/>
      <c r="M57" s="82">
        <f t="shared" ref="M57:M58" si="7">E57+K57</f>
        <v>18118.93</v>
      </c>
      <c r="N57" s="67"/>
      <c r="O57" s="43"/>
      <c r="P57" s="19"/>
      <c r="Q57" s="20"/>
      <c r="R57" s="19"/>
    </row>
    <row r="58" spans="3:18" ht="60.75" customHeight="1" thickBot="1" x14ac:dyDescent="0.25">
      <c r="C58" s="68" t="s">
        <v>4</v>
      </c>
      <c r="D58" s="69"/>
      <c r="E58" s="70">
        <f>SUM(E56:F57)</f>
        <v>24816.15</v>
      </c>
      <c r="F58" s="69"/>
      <c r="G58" s="70">
        <f>SUM(G56:H57)</f>
        <v>38788.94</v>
      </c>
      <c r="H58" s="69"/>
      <c r="I58" s="84">
        <f>SUM(I56:J57)</f>
        <v>-43081.729999999996</v>
      </c>
      <c r="J58" s="69"/>
      <c r="K58" s="71">
        <f>SUM(K56:L57)</f>
        <v>-4292.7899999999972</v>
      </c>
      <c r="L58" s="69"/>
      <c r="M58" s="70">
        <f t="shared" si="7"/>
        <v>20523.360000000004</v>
      </c>
      <c r="N58" s="72"/>
      <c r="O58" s="43"/>
      <c r="P58" s="19"/>
      <c r="Q58" s="19"/>
      <c r="R58" s="19"/>
    </row>
    <row r="59" spans="3:18" ht="12.75" customHeight="1" x14ac:dyDescent="0.2"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3:18" ht="12.75" customHeight="1" x14ac:dyDescent="0.2"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3:18" ht="12.75" customHeight="1" x14ac:dyDescent="0.2"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3:18" ht="12.75" customHeight="1" x14ac:dyDescent="0.2"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3:18" ht="12.75" customHeight="1" x14ac:dyDescent="0.2"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3:18" ht="12.75" customHeight="1" x14ac:dyDescent="0.2"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4:16" ht="12.75" customHeight="1" x14ac:dyDescent="0.2"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4:16" ht="12.75" customHeight="1" x14ac:dyDescent="0.2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4:16" ht="12.75" customHeight="1" x14ac:dyDescent="0.2"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4:16" ht="12.75" customHeight="1" x14ac:dyDescent="0.2"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4:16" ht="12.75" customHeight="1" x14ac:dyDescent="0.2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4:16" ht="12.75" customHeight="1" x14ac:dyDescent="0.2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4:16" ht="12.75" customHeight="1" x14ac:dyDescent="0.2"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4:16" ht="12.75" customHeight="1" x14ac:dyDescent="0.2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4:16" ht="12.75" customHeight="1" x14ac:dyDescent="0.2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4:16" ht="12.75" customHeight="1" x14ac:dyDescent="0.2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4:16" ht="12.75" customHeight="1" x14ac:dyDescent="0.2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4:16" ht="12.75" customHeight="1" x14ac:dyDescent="0.2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4:16" ht="12.75" customHeight="1" x14ac:dyDescent="0.2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4:16" ht="12.75" customHeight="1" x14ac:dyDescent="0.2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4:16" ht="12.75" customHeight="1" x14ac:dyDescent="0.2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4:16" ht="12.75" customHeight="1" x14ac:dyDescent="0.2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4:16" ht="12.75" customHeight="1" x14ac:dyDescent="0.2"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4:16" ht="12.75" customHeight="1" x14ac:dyDescent="0.2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4:16" ht="12.75" customHeight="1" x14ac:dyDescent="0.2"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4:16" ht="12.75" customHeight="1" x14ac:dyDescent="0.2"/>
    <row r="85" spans="4:16" ht="12.75" customHeight="1" x14ac:dyDescent="0.2"/>
    <row r="86" spans="4:16" ht="12.75" customHeight="1" x14ac:dyDescent="0.2"/>
    <row r="87" spans="4:16" ht="12.75" customHeight="1" x14ac:dyDescent="0.2"/>
    <row r="88" spans="4:16" ht="12.75" customHeight="1" x14ac:dyDescent="0.2"/>
    <row r="89" spans="4:16" ht="12.75" customHeight="1" x14ac:dyDescent="0.2"/>
    <row r="90" spans="4:16" ht="12.75" customHeight="1" x14ac:dyDescent="0.2"/>
    <row r="91" spans="4:16" ht="12.75" customHeight="1" x14ac:dyDescent="0.2"/>
    <row r="92" spans="4:16" ht="12.75" customHeight="1" x14ac:dyDescent="0.2"/>
    <row r="93" spans="4:16" ht="12.75" customHeight="1" x14ac:dyDescent="0.2"/>
    <row r="94" spans="4:16" ht="12.75" customHeight="1" x14ac:dyDescent="0.2"/>
    <row r="95" spans="4:16" ht="12.75" customHeight="1" x14ac:dyDescent="0.2"/>
    <row r="96" spans="4:1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44">
    <mergeCell ref="M58:N58"/>
    <mergeCell ref="M56:N56"/>
    <mergeCell ref="C57:D57"/>
    <mergeCell ref="E57:F57"/>
    <mergeCell ref="G57:H57"/>
    <mergeCell ref="I57:J57"/>
    <mergeCell ref="K57:L57"/>
    <mergeCell ref="M57:N57"/>
    <mergeCell ref="C58:D58"/>
    <mergeCell ref="E58:F58"/>
    <mergeCell ref="G58:H58"/>
    <mergeCell ref="I58:J58"/>
    <mergeCell ref="K58:L58"/>
    <mergeCell ref="K55:L55"/>
    <mergeCell ref="C56:D56"/>
    <mergeCell ref="E56:F56"/>
    <mergeCell ref="G56:H56"/>
    <mergeCell ref="I56:J56"/>
    <mergeCell ref="K56:L56"/>
    <mergeCell ref="C54:D55"/>
    <mergeCell ref="E54:F55"/>
    <mergeCell ref="G54:L54"/>
    <mergeCell ref="M54:N55"/>
    <mergeCell ref="G55:H55"/>
    <mergeCell ref="C21:C22"/>
    <mergeCell ref="D21:D22"/>
    <mergeCell ref="E21:Q21"/>
    <mergeCell ref="C42:J42"/>
    <mergeCell ref="C43:D43"/>
    <mergeCell ref="E43:F43"/>
    <mergeCell ref="G43:H43"/>
    <mergeCell ref="I43:J43"/>
    <mergeCell ref="C44:D44"/>
    <mergeCell ref="E44:F44"/>
    <mergeCell ref="G44:H44"/>
    <mergeCell ref="I44:J44"/>
    <mergeCell ref="C53:N53"/>
    <mergeCell ref="I55:J55"/>
    <mergeCell ref="C3:Q4"/>
    <mergeCell ref="D5:Q5"/>
    <mergeCell ref="C6:C7"/>
    <mergeCell ref="D6:D7"/>
    <mergeCell ref="E6:P6"/>
    <mergeCell ref="Q6:Q7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ruchleimer</dc:creator>
  <cp:lastModifiedBy>chaim ruchleimer</cp:lastModifiedBy>
  <dcterms:created xsi:type="dcterms:W3CDTF">2016-05-05T19:19:36Z</dcterms:created>
  <dcterms:modified xsi:type="dcterms:W3CDTF">2022-01-18T18:17:32Z</dcterms:modified>
</cp:coreProperties>
</file>